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9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egment Forecast" sheetId="3" state="visible" r:id="rId3"/>
    <sheet xmlns:r="http://schemas.openxmlformats.org/officeDocument/2006/relationships" name="Historical Financials" sheetId="4" state="visible" r:id="rId4"/>
    <sheet xmlns:r="http://schemas.openxmlformats.org/officeDocument/2006/relationships" name="Cost of Equity" sheetId="5" state="visible" r:id="rId5"/>
    <sheet xmlns:r="http://schemas.openxmlformats.org/officeDocument/2006/relationships" name="Operating Model Output" sheetId="6" state="visible" r:id="rId6"/>
    <sheet xmlns:r="http://schemas.openxmlformats.org/officeDocument/2006/relationships" name="OUT-DCF" sheetId="7" state="visible" r:id="rId7"/>
    <sheet xmlns:r="http://schemas.openxmlformats.org/officeDocument/2006/relationships" name="DCF Sensitivity" sheetId="8" state="visible" r:id="rId8"/>
    <sheet xmlns:r="http://schemas.openxmlformats.org/officeDocument/2006/relationships" name="Comps Valuation" sheetId="9" state="visible" r:id="rId9"/>
    <sheet xmlns:r="http://schemas.openxmlformats.org/officeDocument/2006/relationships" name="Valuation Summary" sheetId="10" state="visible" r:id="rId10"/>
    <sheet xmlns:r="http://schemas.openxmlformats.org/officeDocument/2006/relationships" name="Price History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"/>
    <numFmt numFmtId="165" formatCode="_($#,##0.00_);($#,##0.00);_(&quot;–&quot;_)"/>
    <numFmt numFmtId="166" formatCode="_(#,##0.00_);(#,##0.00);_(&quot;–&quot;_)"/>
    <numFmt numFmtId="167" formatCode="_(0.0%_);(0.0%);_(&quot;–&quot;_)"/>
    <numFmt numFmtId="168" formatCode="_($#,##0.0_);($#,##0.0);_(&quot;–&quot;_)"/>
    <numFmt numFmtId="169" formatCode="_(0.00%_);(0.00%);_(&quot;–&quot;_)"/>
    <numFmt numFmtId="170" formatCode="_(#,##0.0_);(#,##0.0);_(&quot;–&quot;_)"/>
    <numFmt numFmtId="171" formatCode="_($#,##0_);($#,##0);_(&quot;–&quot;_)"/>
    <numFmt numFmtId="172" formatCode="0.00&quot;x&quot;"/>
    <numFmt numFmtId="173" formatCode="+0.0%;(0.0%);0.0%"/>
    <numFmt numFmtId="174" formatCode="0.0000"/>
  </numFmts>
  <fonts count="8">
    <font>
      <name val="Calibri"/>
      <family val="2"/>
      <color theme="1"/>
      <sz val="11"/>
      <scheme val="minor"/>
    </font>
    <font>
      <name val="Arial"/>
      <b val="1"/>
      <color rgb="00000000"/>
      <sz val="11"/>
    </font>
    <font>
      <name val="Arial"/>
      <b val="1"/>
      <color rgb="00000000"/>
      <sz val="8"/>
    </font>
    <font>
      <name val="Arial"/>
      <color rgb="000A1AE4"/>
      <sz val="8"/>
    </font>
    <font>
      <name val="Arial"/>
      <color rgb="00008000"/>
      <sz val="8"/>
    </font>
    <font>
      <name val="Arial"/>
      <color rgb="00000000"/>
      <sz val="8"/>
    </font>
    <font>
      <name val="Arial"/>
      <i val="1"/>
      <color rgb="00595959"/>
      <sz val="8"/>
    </font>
    <font>
      <name val="Arial"/>
      <b val="1"/>
      <color rgb="00FFFFFF"/>
      <sz val="8"/>
    </font>
  </fonts>
  <fills count="6">
    <fill>
      <patternFill/>
    </fill>
    <fill>
      <patternFill patternType="gray125"/>
    </fill>
    <fill>
      <patternFill patternType="solid">
        <fgColor rgb="0000336A"/>
      </patternFill>
    </fill>
    <fill>
      <patternFill patternType="solid">
        <fgColor rgb="002F5597"/>
      </patternFill>
    </fill>
    <fill>
      <patternFill patternType="solid">
        <fgColor rgb="00FFFFCC"/>
      </patternFill>
    </fill>
    <fill>
      <patternFill patternType="solid">
        <fgColor rgb="00DDEBF7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0" pivotButton="0" quotePrefix="0" xfId="0"/>
    <xf numFmtId="0" fontId="0" fillId="2" borderId="0" pivotButton="0" quotePrefix="0" xfId="0"/>
    <xf numFmtId="164" fontId="3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166" fontId="3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right" vertical="center"/>
    </xf>
    <xf numFmtId="167" fontId="3" fillId="0" borderId="0" applyAlignment="1" pivotButton="0" quotePrefix="0" xfId="0">
      <alignment horizontal="right" vertical="center"/>
    </xf>
    <xf numFmtId="168" fontId="5" fillId="5" borderId="0" applyAlignment="1" pivotButton="0" quotePrefix="0" xfId="0">
      <alignment horizontal="right" vertical="center"/>
    </xf>
    <xf numFmtId="168" fontId="3" fillId="0" borderId="0" applyAlignment="1" pivotButton="0" quotePrefix="0" xfId="0">
      <alignment horizontal="right" vertical="center"/>
    </xf>
    <xf numFmtId="169" fontId="3" fillId="0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 wrapText="1"/>
    </xf>
    <xf numFmtId="168" fontId="3" fillId="0" borderId="0" pivotButton="0" quotePrefix="0" xfId="0"/>
    <xf numFmtId="168" fontId="5" fillId="0" borderId="0" pivotButton="0" quotePrefix="0" xfId="0"/>
    <xf numFmtId="168" fontId="2" fillId="0" borderId="2" pivotButton="0" quotePrefix="0" xfId="0"/>
    <xf numFmtId="168" fontId="4" fillId="0" borderId="0" pivotButton="0" quotePrefix="0" xfId="0"/>
    <xf numFmtId="167" fontId="5" fillId="0" borderId="0" pivotButton="0" quotePrefix="0" xfId="0"/>
    <xf numFmtId="167" fontId="4" fillId="0" borderId="0" pivotButton="0" quotePrefix="0" xfId="0"/>
    <xf numFmtId="168" fontId="2" fillId="0" borderId="0" pivotButton="0" quotePrefix="0" xfId="0"/>
    <xf numFmtId="173" fontId="2" fillId="5" borderId="0" pivotButton="0" quotePrefix="0" xfId="0"/>
    <xf numFmtId="165" fontId="3" fillId="0" borderId="0" pivotButton="0" quotePrefix="0" xfId="0"/>
    <xf numFmtId="170" fontId="3" fillId="0" borderId="0" pivotButton="0" quotePrefix="0" xfId="0"/>
    <xf numFmtId="171" fontId="3" fillId="0" borderId="0" pivotButton="0" quotePrefix="0" xfId="0"/>
    <xf numFmtId="171" fontId="5" fillId="0" borderId="0" pivotButton="0" quotePrefix="0" xfId="0"/>
    <xf numFmtId="165" fontId="5" fillId="0" borderId="0" pivotButton="0" quotePrefix="0" xfId="0"/>
    <xf numFmtId="165" fontId="2" fillId="0" borderId="0" pivotButton="0" quotePrefix="0" xfId="0"/>
    <xf numFmtId="172" fontId="5" fillId="0" borderId="0" pivotButton="0" quotePrefix="0" xfId="0"/>
    <xf numFmtId="170" fontId="5" fillId="0" borderId="0" pivotButton="0" quotePrefix="0" xfId="0"/>
    <xf numFmtId="172" fontId="4" fillId="0" borderId="0" pivotButton="0" quotePrefix="0" xfId="0"/>
    <xf numFmtId="166" fontId="4" fillId="0" borderId="0" pivotButton="0" quotePrefix="0" xfId="0"/>
    <xf numFmtId="166" fontId="2" fillId="0" borderId="2" pivotButton="0" quotePrefix="0" xfId="0"/>
    <xf numFmtId="167" fontId="2" fillId="0" borderId="2" pivotButton="0" quotePrefix="0" xfId="0"/>
    <xf numFmtId="169" fontId="4" fillId="0" borderId="0" pivotButton="0" quotePrefix="0" xfId="0"/>
    <xf numFmtId="169" fontId="2" fillId="0" borderId="0" pivotButton="0" quotePrefix="0" xfId="0"/>
    <xf numFmtId="169" fontId="5" fillId="0" borderId="0" pivotButton="0" quotePrefix="0" xfId="0"/>
    <xf numFmtId="1" fontId="4" fillId="0" borderId="0" pivotButton="0" quotePrefix="0" xfId="0"/>
    <xf numFmtId="169" fontId="2" fillId="4" borderId="1" pivotButton="0" quotePrefix="0" xfId="0"/>
    <xf numFmtId="172" fontId="2" fillId="0" borderId="0" pivotButton="0" quotePrefix="0" xfId="0"/>
    <xf numFmtId="166" fontId="5" fillId="0" borderId="0" pivotButton="0" quotePrefix="0" xfId="0"/>
    <xf numFmtId="174" fontId="5" fillId="0" borderId="0" pivotButton="0" quotePrefix="0" xfId="0"/>
    <xf numFmtId="168" fontId="2" fillId="5" borderId="0" pivotButton="0" quotePrefix="0" xfId="0"/>
    <xf numFmtId="165" fontId="2" fillId="4" borderId="1" pivotButton="0" quotePrefix="0" xfId="0"/>
    <xf numFmtId="165" fontId="4" fillId="0" borderId="0" pivotButton="0" quotePrefix="0" xfId="0"/>
    <xf numFmtId="0" fontId="7" fillId="2" borderId="0" applyAlignment="1" pivotButton="0" quotePrefix="0" xfId="0">
      <alignment horizontal="center"/>
    </xf>
    <xf numFmtId="169" fontId="7" fillId="3" borderId="0" applyAlignment="1" pivotButton="0" quotePrefix="0" xfId="0">
      <alignment horizontal="center" vertical="center"/>
    </xf>
    <xf numFmtId="169" fontId="7" fillId="2" borderId="0" applyAlignment="1" pivotButton="0" quotePrefix="0" xfId="0">
      <alignment horizontal="center" vertical="center"/>
    </xf>
    <xf numFmtId="173" fontId="5" fillId="0" borderId="0" pivotButton="0" quotePrefix="0" xfId="0"/>
    <xf numFmtId="173" fontId="2" fillId="4" borderId="1" pivotButton="0" quotePrefix="0" xfId="0"/>
    <xf numFmtId="0" fontId="7" fillId="3" borderId="0" applyAlignment="1" pivotButton="0" quotePrefix="0" xfId="0">
      <alignment horizontal="center" wrapText="1"/>
    </xf>
    <xf numFmtId="172" fontId="3" fillId="0" borderId="0" pivotButton="0" quotePrefix="0" xfId="0"/>
    <xf numFmtId="167" fontId="3" fillId="0" borderId="0" pivotButton="0" quotePrefix="0" xfId="0"/>
    <xf numFmtId="166" fontId="3" fillId="0" borderId="0" pivotButton="0" quotePrefix="0" xfId="0"/>
    <xf numFmtId="167" fontId="2" fillId="0" borderId="0" pivotButton="0" quotePrefix="0" xfId="0"/>
    <xf numFmtId="0" fontId="2" fillId="5" borderId="2" pivotButton="0" quotePrefix="0" xfId="0"/>
    <xf numFmtId="0" fontId="0" fillId="5" borderId="2" pivotButton="0" quotePrefix="0" xfId="0"/>
    <xf numFmtId="172" fontId="3" fillId="5" borderId="2" pivotButton="0" quotePrefix="0" xfId="0"/>
    <xf numFmtId="172" fontId="5" fillId="5" borderId="2" pivotButton="0" quotePrefix="0" xfId="0"/>
    <xf numFmtId="167" fontId="4" fillId="5" borderId="2" pivotButton="0" quotePrefix="0" xfId="0"/>
    <xf numFmtId="166" fontId="3" fillId="5" borderId="2" pivotButton="0" quotePrefix="0" xfId="0"/>
    <xf numFmtId="165" fontId="2" fillId="5" borderId="0" pivotButton="0" quotePrefix="0" xfId="0"/>
    <xf numFmtId="173" fontId="2" fillId="5" borderId="0" applyAlignment="1" pivotButton="0" quotePrefix="0" xfId="0">
      <alignment horizontal="right" vertical="center"/>
    </xf>
    <xf numFmtId="49" fontId="4" fillId="0" borderId="0" applyAlignment="1" pivotButton="0" quotePrefix="0" xfId="0">
      <alignment horizontal="right" vertical="center"/>
    </xf>
    <xf numFmtId="172" fontId="4" fillId="0" borderId="0" applyAlignment="1" pivotButton="0" quotePrefix="0" xfId="0">
      <alignment horizontal="right" vertical="center"/>
    </xf>
    <xf numFmtId="173" fontId="4" fillId="0" borderId="0" applyAlignment="1" pivotButton="0" quotePrefix="0" xfId="0">
      <alignment horizontal="right" vertical="center"/>
    </xf>
    <xf numFmtId="167" fontId="4" fillId="0" borderId="0" applyAlignment="1" pivotButton="0" quotePrefix="0" xfId="0">
      <alignment horizontal="right" vertical="center"/>
    </xf>
    <xf numFmtId="173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C6EFCE"/>
        </patternFill>
      </fill>
    </dxf>
    <dxf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RITM valuation range ($ per share)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'Valuation Summary'!C15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'Valuation Summary'!$B$16:$B$22</f>
            </numRef>
          </cat>
          <val>
            <numRef>
              <f>'Valuation Summary'!$C$16:$C$22</f>
            </numRef>
          </val>
        </ser>
        <ser>
          <idx val="1"/>
          <order val="1"/>
          <tx>
            <strRef>
              <f>'Valuation Summary'!F15</f>
            </strRef>
          </tx>
          <spPr>
            <a:solidFill xmlns:a="http://schemas.openxmlformats.org/drawingml/2006/main">
              <a:srgbClr val="00336A"/>
            </a:solidFill>
            <a:ln xmlns:a="http://schemas.openxmlformats.org/drawingml/2006/main">
              <a:noFill/>
              <a:prstDash val="solid"/>
            </a:ln>
          </spPr>
          <cat>
            <numRef>
              <f>'Valuation Summary'!$B$16:$B$22</f>
            </numRef>
          </cat>
          <val>
            <numRef>
              <f>'Valuation Summary'!$F$16:$F$22</f>
            </numRef>
          </val>
        </ser>
        <gapWidth val="6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</cols>
  <sheetData>
    <row r="2">
      <c r="B2" s="1" t="inlineStr">
        <is>
          <t>Rithm Capital Corp. (NYSE: RITM) – Equity Valuation Model</t>
        </is>
      </c>
    </row>
    <row r="4">
      <c r="B4" s="2" t="inlineStr">
        <is>
          <t>Color key</t>
        </is>
      </c>
    </row>
    <row r="5">
      <c r="B5" s="3" t="inlineStr">
        <is>
          <t>Hardcoded input</t>
        </is>
      </c>
    </row>
    <row r="6">
      <c r="B6" s="4" t="inlineStr">
        <is>
          <t>Linked from another sheet</t>
        </is>
      </c>
    </row>
    <row r="7">
      <c r="B7" s="5" t="inlineStr">
        <is>
          <t>Formula</t>
        </is>
      </c>
    </row>
    <row r="9">
      <c r="B9" s="2" t="inlineStr">
        <is>
          <t>How this model differs from the A10 Networks model</t>
        </is>
      </c>
    </row>
    <row r="10" ht="34" customHeight="1">
      <c r="B10" s="6" t="inlineStr">
        <is>
          <t>1. Same structure as the A10 workbook: Assumptions with a scenario manager, segment forecast, operating model output, cost of equity, FCFE DCF, sensitivity, comps and a valuation summary.</t>
        </is>
      </c>
    </row>
    <row r="11" ht="34" customHeight="1">
      <c r="B11" s="6" t="inlineStr">
        <is>
          <t>2. Rithm is a financial company (mortgage REIT, servicer, lender and asset manager). Its 'capex' is growth in the balance sheet, funded partly with debt. So FCFE here = core net income to common + D&amp;A − maintenance capex − equity retained to grow the balance sheet at constant leverage.</t>
        </is>
      </c>
    </row>
    <row r="12" ht="34" customHeight="1">
      <c r="B12" s="6" t="inlineStr">
        <is>
          <t>3. GAAP earnings swing with the mark-to-market on mortgage servicing rights (MSRs) and hedges. The forecast is built on core earnings: FY26E is calibrated to H1 2026 pre-tax income with those marks and one-time items added back, using Rithm's own EAD reconciliation.</t>
        </is>
      </c>
    </row>
    <row r="13" ht="34" customHeight="1">
      <c r="B13" s="6" t="inlineStr">
        <is>
          <t>4. Taxes use a cash (current) tax rate. Most income sits in the REIT, and deferred taxes are non-cash.</t>
        </is>
      </c>
    </row>
    <row r="14" ht="34" customHeight="1">
      <c r="B14" s="6" t="inlineStr">
        <is>
          <t>5. Preferred dividends are deducted before FCFE, so the DCF values common equity directly.</t>
        </is>
      </c>
    </row>
    <row r="15" ht="34" customHeight="1">
      <c r="B15" s="6" t="inlineStr">
        <is>
          <t>6. Only the part of FY26 remaining after the valuation date (the stub) is counted. The terminal value is discounted from the end of FY30.</t>
        </is>
      </c>
    </row>
    <row r="16" ht="34" customHeight="1">
      <c r="B16" s="6" t="inlineStr">
        <is>
          <t>7. Cost of equity: peer-implied (1 / forward P/E + long-run growth, same method as the A10 model), CAPM, or their average (the default). Switch with Assumptions!D66.</t>
        </is>
      </c>
    </row>
    <row r="17" ht="34" customHeight="1">
      <c r="B17" s="6" t="inlineStr">
        <is>
          <t>8. Scenario manager: change Assumptions!D17 (1 = Base, 2 = Conservative, 3 = Bullish).</t>
        </is>
      </c>
    </row>
    <row r="18" ht="34" customHeight="1">
      <c r="B18" s="6" t="inlineStr">
        <is>
          <t>9. Sources: SEC EDGAR XBRL (10-K FY2025, 10-Q Q2 2026), Rithm Q2 2026 earnings release (EAD, book value, operating metrics), Yahoo Finance (prices, 10-year Treasury), Finviz (peer multiples), all as of 9/30/2026.</t>
        </is>
      </c>
    </row>
  </sheetData>
  <mergeCells count="9">
    <mergeCell ref="B13:C13"/>
    <mergeCell ref="B16:C16"/>
    <mergeCell ref="B15:C15"/>
    <mergeCell ref="B11:C11"/>
    <mergeCell ref="B10:C10"/>
    <mergeCell ref="B14:C14"/>
    <mergeCell ref="B17:C17"/>
    <mergeCell ref="B18:C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6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2" customWidth="1" min="3" max="3"/>
    <col width="12" customWidth="1" min="4" max="4"/>
    <col width="2" customWidth="1" min="5" max="5"/>
    <col width="12" customWidth="1" min="6" max="6"/>
    <col width="12" customWidth="1" min="7" max="7"/>
    <col width="12" customWidth="1" min="8" max="8"/>
    <col width="2" customWidth="1" min="9" max="9"/>
    <col width="60" customWidth="1" min="10" max="10"/>
  </cols>
  <sheetData>
    <row r="2">
      <c r="B2" s="1" t="inlineStr">
        <is>
          <t>Rithm Capital Corp. – Assumptions</t>
        </is>
      </c>
    </row>
    <row r="3">
      <c r="B3" s="7" t="inlineStr">
        <is>
          <t>($ in millions, except per-share data)</t>
        </is>
      </c>
    </row>
    <row r="5">
      <c r="B5" s="8" t="inlineStr">
        <is>
          <t>General</t>
        </is>
      </c>
      <c r="C5" s="9" t="n"/>
      <c r="D5" s="9" t="n"/>
      <c r="E5" s="9" t="n"/>
      <c r="F5" s="9" t="n"/>
      <c r="G5" s="9" t="n"/>
      <c r="H5" s="9" t="n"/>
      <c r="I5" s="9" t="n"/>
      <c r="J5" s="9" t="n"/>
    </row>
    <row r="6">
      <c r="B6" s="5" t="inlineStr">
        <is>
          <t>Valuation date</t>
        </is>
      </c>
      <c r="D6" s="10" t="n">
        <v>46295</v>
      </c>
      <c r="J6" s="7" t="inlineStr">
        <is>
          <t>Pricing date</t>
        </is>
      </c>
    </row>
    <row r="7">
      <c r="B7" s="5" t="inlineStr">
        <is>
          <t>Ticker</t>
        </is>
      </c>
      <c r="D7" s="11" t="inlineStr">
        <is>
          <t>RITM</t>
        </is>
      </c>
      <c r="J7" s="7" t="inlineStr">
        <is>
          <t>NYSE</t>
        </is>
      </c>
    </row>
    <row r="8">
      <c r="B8" s="5" t="inlineStr">
        <is>
          <t>Current share price</t>
        </is>
      </c>
      <c r="D8" s="12" t="n">
        <v>8.955</v>
      </c>
      <c r="J8" s="7" t="inlineStr">
        <is>
          <t>Yahoo Finance, 2026-09-30 ~1:17pm CT</t>
        </is>
      </c>
    </row>
    <row r="9">
      <c r="B9" s="5" t="inlineStr">
        <is>
          <t>Diluted shares (mm)</t>
        </is>
      </c>
      <c r="D9" s="13" t="n">
        <v>568.26233</v>
      </c>
      <c r="J9" s="7" t="inlineStr">
        <is>
          <t>10-Q Q2 2026, diluted weighted-average shares (Q2)</t>
        </is>
      </c>
    </row>
    <row r="10">
      <c r="B10" s="5" t="inlineStr">
        <is>
          <t>Book value per common share (Q2 2026)</t>
        </is>
      </c>
      <c r="D10" s="14">
        <f>'Historical Financials'!I29</f>
        <v/>
      </c>
      <c r="J10" s="7" t="inlineStr">
        <is>
          <t>Common equity ÷ shares outstanding; ties to the $12.33 reported</t>
        </is>
      </c>
    </row>
    <row r="11">
      <c r="B11" s="5" t="inlineStr">
        <is>
          <t>Next fiscal year end</t>
        </is>
      </c>
      <c r="D11" s="10" t="n">
        <v>46387</v>
      </c>
      <c r="J11" s="7" t="inlineStr">
        <is>
          <t>December year end</t>
        </is>
      </c>
    </row>
    <row r="12">
      <c r="B12" s="5" t="inlineStr">
        <is>
          <t>Stub period (share of FY26 remaining)</t>
        </is>
      </c>
      <c r="D12" s="15">
        <f>YEARFRAC(D6,D11,1)</f>
        <v/>
      </c>
      <c r="J12" s="7" t="inlineStr">
        <is>
          <t>Only this share of FY26E FCFE is valued</t>
        </is>
      </c>
    </row>
    <row r="13">
      <c r="B13" s="5" t="inlineStr">
        <is>
          <t>Mid-year convention (1 = on, 0 = off)</t>
        </is>
      </c>
      <c r="D13" s="16" t="n">
        <v>1</v>
      </c>
      <c r="J13" s="7" t="inlineStr">
        <is>
          <t>Cash flows assumed to arrive mid-period</t>
        </is>
      </c>
    </row>
    <row r="15">
      <c r="B15" s="8" t="inlineStr">
        <is>
          <t>Scenario Manager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</row>
    <row r="16">
      <c r="B16" t="inlineStr">
        <is>
          <t>Scenario</t>
        </is>
      </c>
      <c r="D16" s="2" t="inlineStr">
        <is>
          <t>Active</t>
        </is>
      </c>
      <c r="F16" s="17" t="inlineStr">
        <is>
          <t>Base</t>
        </is>
      </c>
      <c r="G16" s="17" t="inlineStr">
        <is>
          <t>Conservative</t>
        </is>
      </c>
      <c r="H16" s="17" t="inlineStr">
        <is>
          <t>Bullish</t>
        </is>
      </c>
    </row>
    <row r="17">
      <c r="B17" s="5" t="inlineStr">
        <is>
          <t>Active scenario (1 = Base, 2 = Conservative, 3 = Bullish)</t>
        </is>
      </c>
      <c r="D17" s="18" t="n">
        <v>1</v>
      </c>
    </row>
    <row r="18">
      <c r="B18" s="5" t="inlineStr">
        <is>
          <t>Scenario description</t>
        </is>
      </c>
      <c r="D18" s="19">
        <f>CHOOSE($D$17,F16,G16,H16)</f>
        <v/>
      </c>
    </row>
    <row r="20">
      <c r="B20" s="8" t="inlineStr">
        <is>
          <t>Segment Revenue Growth, FY27E–FY30E (per year)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B21" s="5" t="inlineStr">
        <is>
          <t>Origination &amp; Servicing</t>
        </is>
      </c>
      <c r="D21" s="20">
        <f>CHOOSE($D$17,F21,G21,H21)</f>
        <v/>
      </c>
      <c r="F21" s="21" t="n">
        <v>0.03</v>
      </c>
      <c r="G21" s="21" t="n">
        <v>0</v>
      </c>
      <c r="H21" s="21" t="n">
        <v>0.05</v>
      </c>
      <c r="J21" s="7" t="inlineStr">
        <is>
          <t>Servicing book of $865B UPB; originations cyclical with rates</t>
        </is>
      </c>
    </row>
    <row r="22">
      <c r="B22" s="5" t="inlineStr">
        <is>
          <t>Residential Transitional Lending</t>
        </is>
      </c>
      <c r="D22" s="20">
        <f>CHOOSE($D$17,F22,G22,H22)</f>
        <v/>
      </c>
      <c r="F22" s="21" t="n">
        <v>0.1</v>
      </c>
      <c r="G22" s="21" t="n">
        <v>0.05</v>
      </c>
      <c r="H22" s="21" t="n">
        <v>0.15</v>
      </c>
      <c r="J22" s="7" t="inlineStr">
        <is>
          <t>Genesis Capital bridge / fix-and-flip lending</t>
        </is>
      </c>
    </row>
    <row r="23">
      <c r="B23" s="5" t="inlineStr">
        <is>
          <t>Asset Management</t>
        </is>
      </c>
      <c r="D23" s="20">
        <f>CHOOSE($D$17,F23,G23,H23)</f>
        <v/>
      </c>
      <c r="F23" s="21" t="n">
        <v>0.08</v>
      </c>
      <c r="G23" s="21" t="n">
        <v>0.04</v>
      </c>
      <c r="H23" s="21" t="n">
        <v>0.12</v>
      </c>
      <c r="J23" s="7" t="inlineStr">
        <is>
          <t>Sculptor + Crestline; AUM $61B</t>
        </is>
      </c>
    </row>
    <row r="24">
      <c r="B24" s="5" t="inlineStr">
        <is>
          <t>Investment Portfolio</t>
        </is>
      </c>
      <c r="D24" s="20">
        <f>CHOOSE($D$17,F24,G24,H24)</f>
        <v/>
      </c>
      <c r="F24" s="21" t="n">
        <v>0.02</v>
      </c>
      <c r="G24" s="21" t="n">
        <v>0</v>
      </c>
      <c r="H24" s="21" t="n">
        <v>0.04</v>
      </c>
      <c r="J24" s="7" t="inlineStr">
        <is>
          <t>Legacy portfolio, slowly running off</t>
        </is>
      </c>
    </row>
    <row r="25">
      <c r="B25" s="5" t="inlineStr">
        <is>
          <t>Commercial Real Estate</t>
        </is>
      </c>
      <c r="D25" s="20">
        <f>CHOOSE($D$17,F25,G25,H25)</f>
        <v/>
      </c>
      <c r="F25" s="21" t="n">
        <v>0.02</v>
      </c>
      <c r="G25" s="21" t="n">
        <v>0</v>
      </c>
      <c r="H25" s="21" t="n">
        <v>0.03</v>
      </c>
      <c r="J25" s="7" t="inlineStr">
        <is>
          <t>Paramount office portfolio (acquired Dec 2025)</t>
        </is>
      </c>
    </row>
    <row r="27">
      <c r="B27" s="8" t="inlineStr">
        <is>
          <t>Segment Core Pre-Tax Margin – FY26E</t>
        </is>
      </c>
      <c r="C27" s="9" t="n"/>
      <c r="D27" s="9" t="n"/>
      <c r="E27" s="9" t="n"/>
      <c r="F27" s="9" t="n"/>
      <c r="G27" s="9" t="n"/>
      <c r="H27" s="9" t="n"/>
      <c r="I27" s="9" t="n"/>
      <c r="J27" s="9" t="n"/>
    </row>
    <row r="28">
      <c r="B28" s="5" t="inlineStr">
        <is>
          <t>Origination &amp; Servicing</t>
        </is>
      </c>
      <c r="D28" s="20">
        <f>CHOOSE($D$17,F28,G28,H28)</f>
        <v/>
      </c>
      <c r="F28" s="21" t="n">
        <v>0.35</v>
      </c>
      <c r="G28" s="21" t="n">
        <v>0.3</v>
      </c>
      <c r="H28" s="21" t="n">
        <v>0.38</v>
      </c>
      <c r="J28" s="7" t="inlineStr">
        <is>
          <t>Core = excludes MSR / hedge marks; calibrated to H1 2026 (see Segment Forecast check)</t>
        </is>
      </c>
    </row>
    <row r="29">
      <c r="B29" s="5" t="inlineStr">
        <is>
          <t>Residential Transitional Lending</t>
        </is>
      </c>
      <c r="D29" s="20">
        <f>CHOOSE($D$17,F29,G29,H29)</f>
        <v/>
      </c>
      <c r="F29" s="21" t="n">
        <v>0.34</v>
      </c>
      <c r="G29" s="21" t="n">
        <v>0.3</v>
      </c>
      <c r="H29" s="21" t="n">
        <v>0.36</v>
      </c>
    </row>
    <row r="30">
      <c r="B30" s="5" t="inlineStr">
        <is>
          <t>Asset Management</t>
        </is>
      </c>
      <c r="D30" s="20">
        <f>CHOOSE($D$17,F30,G30,H30)</f>
        <v/>
      </c>
      <c r="F30" s="21" t="n">
        <v>0.1</v>
      </c>
      <c r="G30" s="21" t="n">
        <v>0.05</v>
      </c>
      <c r="H30" s="21" t="n">
        <v>0.14</v>
      </c>
    </row>
    <row r="31">
      <c r="B31" s="5" t="inlineStr">
        <is>
          <t>Investment Portfolio</t>
        </is>
      </c>
      <c r="D31" s="20">
        <f>CHOOSE($D$17,F31,G31,H31)</f>
        <v/>
      </c>
      <c r="F31" s="21" t="n">
        <v>0.38</v>
      </c>
      <c r="G31" s="21" t="n">
        <v>0.3</v>
      </c>
      <c r="H31" s="21" t="n">
        <v>0.42</v>
      </c>
    </row>
    <row r="32">
      <c r="B32" s="5" t="inlineStr">
        <is>
          <t>Commercial Real Estate</t>
        </is>
      </c>
      <c r="D32" s="20">
        <f>CHOOSE($D$17,F32,G32,H32)</f>
        <v/>
      </c>
      <c r="F32" s="21" t="n">
        <v>-0.14</v>
      </c>
      <c r="G32" s="21" t="n">
        <v>-0.18</v>
      </c>
      <c r="H32" s="21" t="n">
        <v>-0.12</v>
      </c>
    </row>
    <row r="34">
      <c r="B34" s="8" t="inlineStr">
        <is>
          <t>Segment Core Pre-Tax Margin – FY30E Target (straight-line path)</t>
        </is>
      </c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B35" s="5" t="inlineStr">
        <is>
          <t>Origination &amp; Servicing</t>
        </is>
      </c>
      <c r="D35" s="20">
        <f>CHOOSE($D$17,F35,G35,H35)</f>
        <v/>
      </c>
      <c r="F35" s="21" t="n">
        <v>0.35</v>
      </c>
      <c r="G35" s="21" t="n">
        <v>0.28</v>
      </c>
      <c r="H35" s="21" t="n">
        <v>0.38</v>
      </c>
    </row>
    <row r="36">
      <c r="B36" s="5" t="inlineStr">
        <is>
          <t>Residential Transitional Lending</t>
        </is>
      </c>
      <c r="D36" s="20">
        <f>CHOOSE($D$17,F36,G36,H36)</f>
        <v/>
      </c>
      <c r="F36" s="21" t="n">
        <v>0.34</v>
      </c>
      <c r="G36" s="21" t="n">
        <v>0.3</v>
      </c>
      <c r="H36" s="21" t="n">
        <v>0.36</v>
      </c>
    </row>
    <row r="37">
      <c r="B37" s="5" t="inlineStr">
        <is>
          <t>Asset Management</t>
        </is>
      </c>
      <c r="D37" s="20">
        <f>CHOOSE($D$17,F37,G37,H37)</f>
        <v/>
      </c>
      <c r="F37" s="21" t="n">
        <v>0.16</v>
      </c>
      <c r="G37" s="21" t="n">
        <v>0.08</v>
      </c>
      <c r="H37" s="21" t="n">
        <v>0.2</v>
      </c>
      <c r="J37" s="7" t="inlineStr">
        <is>
          <t>Asset Management improves as Sculptor/Crestline integration costs roll off</t>
        </is>
      </c>
    </row>
    <row r="38">
      <c r="B38" s="5" t="inlineStr">
        <is>
          <t>Investment Portfolio</t>
        </is>
      </c>
      <c r="D38" s="20">
        <f>CHOOSE($D$17,F38,G38,H38)</f>
        <v/>
      </c>
      <c r="F38" s="21" t="n">
        <v>0.36</v>
      </c>
      <c r="G38" s="21" t="n">
        <v>0.28</v>
      </c>
      <c r="H38" s="21" t="n">
        <v>0.4</v>
      </c>
    </row>
    <row r="39">
      <c r="B39" s="5" t="inlineStr">
        <is>
          <t>Commercial Real Estate</t>
        </is>
      </c>
      <c r="D39" s="20">
        <f>CHOOSE($D$17,F39,G39,H39)</f>
        <v/>
      </c>
      <c r="F39" s="21" t="n">
        <v>-0.06</v>
      </c>
      <c r="G39" s="21" t="n">
        <v>-0.15</v>
      </c>
      <c r="H39" s="21" t="n">
        <v>0</v>
      </c>
      <c r="J39" s="7" t="inlineStr">
        <is>
          <t>Paramount losses narrow as leasing recovers</t>
        </is>
      </c>
    </row>
    <row r="41">
      <c r="B41" s="8" t="inlineStr">
        <is>
          <t>Corporate &amp; Below-the-Line</t>
        </is>
      </c>
      <c r="C41" s="9" t="n"/>
      <c r="D41" s="9" t="n"/>
      <c r="E41" s="9" t="n"/>
      <c r="F41" s="9" t="n"/>
      <c r="G41" s="9" t="n"/>
      <c r="H41" s="9" t="n"/>
      <c r="I41" s="9" t="n"/>
      <c r="J41" s="9" t="n"/>
    </row>
    <row r="42">
      <c r="B42" s="5" t="inlineStr">
        <is>
          <t>Corporate costs, FY26E ($mm)</t>
        </is>
      </c>
      <c r="D42" s="22">
        <f>CHOOSE($D$17,F42,G42,H42)</f>
        <v/>
      </c>
      <c r="F42" s="23" t="n">
        <v>-280</v>
      </c>
      <c r="G42" s="23" t="n">
        <v>-300</v>
      </c>
      <c r="H42" s="23" t="n">
        <v>-265</v>
      </c>
      <c r="J42" s="7" t="inlineStr">
        <is>
          <t>Includes unsecured debt interest; H1 2026 ran at −$150mm incl. one-time costs</t>
        </is>
      </c>
    </row>
    <row r="43">
      <c r="B43" s="5" t="inlineStr">
        <is>
          <t>Corporate cost growth, FY27E–FY30E</t>
        </is>
      </c>
      <c r="D43" s="20">
        <f>CHOOSE($D$17,F43,G43,H43)</f>
        <v/>
      </c>
      <c r="F43" s="21" t="n">
        <v>0.02</v>
      </c>
      <c r="G43" s="21" t="n">
        <v>0.03</v>
      </c>
      <c r="H43" s="21" t="n">
        <v>0.01</v>
      </c>
    </row>
    <row r="44">
      <c r="B44" s="5" t="inlineStr">
        <is>
          <t>Cash tax rate on core pre-tax income</t>
        </is>
      </c>
      <c r="D44" s="20">
        <f>CHOOSE($D$17,F44,G44,H44)</f>
        <v/>
      </c>
      <c r="F44" s="21" t="n">
        <v>0.05</v>
      </c>
      <c r="G44" s="21" t="n">
        <v>0.08</v>
      </c>
      <c r="H44" s="21" t="n">
        <v>0.04</v>
      </c>
      <c r="J44" s="7" t="inlineStr">
        <is>
          <t>Current tax 3.5% of pre-tax in FY2025; REIT income largely untaxed</t>
        </is>
      </c>
    </row>
    <row r="45">
      <c r="B45" s="5" t="inlineStr">
        <is>
          <t>Noncontrolling interests ($mm per year)</t>
        </is>
      </c>
      <c r="D45" s="22">
        <f>CHOOSE($D$17,F45,G45,H45)</f>
        <v/>
      </c>
      <c r="F45" s="23" t="n">
        <v>32</v>
      </c>
      <c r="G45" s="23" t="n">
        <v>32</v>
      </c>
      <c r="H45" s="23" t="n">
        <v>32</v>
      </c>
      <c r="J45" s="7" t="inlineStr">
        <is>
          <t>Q2 2026 run-rate $8mm/quarter</t>
        </is>
      </c>
    </row>
    <row r="46">
      <c r="B46" s="5" t="inlineStr">
        <is>
          <t>Preferred dividends ($mm per year)</t>
        </is>
      </c>
      <c r="D46" s="22">
        <f>CHOOSE($D$17,F46,G46,H46)</f>
        <v/>
      </c>
      <c r="F46" s="23" t="n">
        <v>144</v>
      </c>
      <c r="G46" s="23" t="n">
        <v>144</v>
      </c>
      <c r="H46" s="23" t="n">
        <v>144</v>
      </c>
      <c r="J46" s="7" t="inlineStr">
        <is>
          <t>Q2 2026 $36.1mm/quarter after new issuance</t>
        </is>
      </c>
    </row>
    <row r="47">
      <c r="B47" s="5" t="inlineStr">
        <is>
          <t>D&amp;A as % of revenue</t>
        </is>
      </c>
      <c r="D47" s="20">
        <f>CHOOSE($D$17,F47,G47,H47)</f>
        <v/>
      </c>
      <c r="F47" s="21" t="n">
        <v>0.07000000000000001</v>
      </c>
      <c r="G47" s="21" t="n">
        <v>0.07000000000000001</v>
      </c>
      <c r="H47" s="21" t="n">
        <v>0.07000000000000001</v>
      </c>
      <c r="J47" s="7" t="inlineStr">
        <is>
          <t>H1 2026 D&amp;A $186mm on $2,667mm segment revenue</t>
        </is>
      </c>
    </row>
    <row r="48">
      <c r="B48" s="5" t="inlineStr">
        <is>
          <t>Maintenance capex as % of D&amp;A</t>
        </is>
      </c>
      <c r="D48" s="20">
        <f>CHOOSE($D$17,F48,G48,H48)</f>
        <v/>
      </c>
      <c r="F48" s="21" t="n">
        <v>0.9</v>
      </c>
      <c r="G48" s="21" t="n">
        <v>1.1</v>
      </c>
      <c r="H48" s="21" t="n">
        <v>0.7</v>
      </c>
      <c r="J48" s="7" t="inlineStr">
        <is>
          <t>Assumption: most D&amp;A is Paramount office depreciation; building capex + TI/LC typically run near or above it</t>
        </is>
      </c>
    </row>
    <row r="49">
      <c r="B49" s="5" t="inlineStr">
        <is>
          <t>Balance sheet growth (equity retained per year)</t>
        </is>
      </c>
      <c r="D49" s="20">
        <f>CHOOSE($D$17,F49,G49,H49)</f>
        <v/>
      </c>
      <c r="F49" s="21" t="n">
        <v>0.03</v>
      </c>
      <c r="G49" s="21" t="n">
        <v>0.01</v>
      </c>
      <c r="H49" s="21" t="n">
        <v>0.04</v>
      </c>
      <c r="J49" s="7" t="inlineStr">
        <is>
          <t>Common equity grows with the balance sheet at constant leverage</t>
        </is>
      </c>
    </row>
    <row r="50">
      <c r="B50" s="5" t="inlineStr">
        <is>
          <t>Long-run (terminal) growth rate</t>
        </is>
      </c>
      <c r="D50" s="20">
        <f>CHOOSE($D$17,F50,G50,H50)</f>
        <v/>
      </c>
      <c r="F50" s="21" t="n">
        <v>0.025</v>
      </c>
      <c r="G50" s="21" t="n">
        <v>0.02</v>
      </c>
      <c r="H50" s="21" t="n">
        <v>0.03</v>
      </c>
      <c r="J50" s="7" t="inlineStr">
        <is>
          <t>Below the A10 model’s 3.5%: book-value-constrained financial</t>
        </is>
      </c>
    </row>
    <row r="52">
      <c r="B52" s="8" t="inlineStr">
        <is>
          <t>Cost of Equity Inputs</t>
        </is>
      </c>
      <c r="C52" s="9" t="n"/>
      <c r="D52" s="9" t="n"/>
      <c r="E52" s="9" t="n"/>
      <c r="F52" s="9" t="n"/>
      <c r="G52" s="9" t="n"/>
      <c r="H52" s="9" t="n"/>
      <c r="I52" s="9" t="n"/>
      <c r="J52" s="9" t="n"/>
    </row>
    <row r="53">
      <c r="B53" s="5" t="inlineStr">
        <is>
          <t>Risk-free rate (10-year Treasury)</t>
        </is>
      </c>
      <c r="D53" s="24" t="n">
        <v>0.053</v>
      </c>
      <c r="J53" s="7" t="inlineStr">
        <is>
          <t>Yahoo Finance ^TNX, 9/30/2026</t>
        </is>
      </c>
    </row>
    <row r="54">
      <c r="B54" s="5" t="inlineStr">
        <is>
          <t>RITM beta</t>
        </is>
      </c>
      <c r="D54" s="13" t="n">
        <v>1.15</v>
      </c>
      <c r="J54" s="7" t="inlineStr">
        <is>
          <t>Finviz</t>
        </is>
      </c>
    </row>
    <row r="55">
      <c r="B55" s="5" t="inlineStr">
        <is>
          <t>Equity risk premium</t>
        </is>
      </c>
      <c r="D55" s="21" t="n">
        <v>0.05</v>
      </c>
      <c r="J55" s="7" t="inlineStr">
        <is>
          <t>Assumption</t>
        </is>
      </c>
    </row>
    <row r="56">
      <c r="B56" s="5" t="inlineStr">
        <is>
          <t>Peer long-run earnings growth (for implied k)</t>
        </is>
      </c>
      <c r="D56" s="21" t="n">
        <v>0</v>
      </c>
      <c r="J56" s="7" t="inlineStr">
        <is>
          <t>Mortgage REIT earnings do not compound; 0% keeps implied k = earnings yield</t>
        </is>
      </c>
    </row>
    <row r="58">
      <c r="B58" s="8" t="inlineStr">
        <is>
          <t>DCF Settings</t>
        </is>
      </c>
      <c r="C58" s="9" t="n"/>
      <c r="D58" s="9" t="n"/>
      <c r="E58" s="9" t="n"/>
      <c r="F58" s="9" t="n"/>
      <c r="G58" s="9" t="n"/>
      <c r="H58" s="9" t="n"/>
      <c r="I58" s="9" t="n"/>
      <c r="J58" s="9" t="n"/>
    </row>
    <row r="59">
      <c r="B59" s="5" t="inlineStr">
        <is>
          <t>Sensitivity step – cost of equity</t>
        </is>
      </c>
      <c r="D59" s="21" t="n">
        <v>0.01</v>
      </c>
    </row>
    <row r="60">
      <c r="B60" s="5" t="inlineStr">
        <is>
          <t>Sensitivity step – terminal growth</t>
        </is>
      </c>
      <c r="D60" s="24" t="n">
        <v>0.0025</v>
      </c>
    </row>
    <row r="66">
      <c r="B66" s="5" t="inlineStr">
        <is>
          <t>Cost of equity method (1 = Peer implied, 2 = CAPM, 3 = Average)</t>
        </is>
      </c>
      <c r="D66" s="18" t="n">
        <v>3</v>
      </c>
      <c r="J66" s="7" t="inlineStr">
        <is>
          <t>Peer-implied k runs high because mREITs trade at 6x earnings; CAPM runs low for a levered financial. The default averages the two.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M41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0" customWidth="1" min="13" max="13"/>
  </cols>
  <sheetData>
    <row r="2">
      <c r="B2" s="1" t="inlineStr">
        <is>
          <t>Rithm Capital Corp. – Segment Forecast</t>
        </is>
      </c>
    </row>
    <row r="3">
      <c r="B3" s="7" t="inlineStr">
        <is>
          <t>($ in millions, except per-share data)</t>
        </is>
      </c>
    </row>
    <row r="5">
      <c r="B5" s="8" t="inlineStr">
        <is>
          <t>Segment Revenue (reported, $mm)</t>
        </is>
      </c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C6" s="17" t="inlineStr">
        <is>
          <t>FY2024</t>
        </is>
      </c>
      <c r="D6" s="17" t="inlineStr">
        <is>
          <t>FY2025</t>
        </is>
      </c>
      <c r="E6" s="17" t="inlineStr">
        <is>
          <t>H1 2026</t>
        </is>
      </c>
      <c r="G6" s="25" t="inlineStr">
        <is>
          <t>FY'26E</t>
        </is>
      </c>
      <c r="H6" s="25" t="inlineStr">
        <is>
          <t>FY'27E</t>
        </is>
      </c>
      <c r="I6" s="25" t="inlineStr">
        <is>
          <t>FY'28E</t>
        </is>
      </c>
      <c r="J6" s="25" t="inlineStr">
        <is>
          <t>FY'29E</t>
        </is>
      </c>
      <c r="K6" s="25" t="inlineStr">
        <is>
          <t>FY'30E</t>
        </is>
      </c>
    </row>
    <row r="7">
      <c r="B7" s="5" t="inlineStr">
        <is>
          <t>Origination &amp; Servicing</t>
        </is>
      </c>
      <c r="C7" s="26" t="n">
        <v>3681.9</v>
      </c>
      <c r="D7" s="26" t="n">
        <v>3135</v>
      </c>
      <c r="E7" s="26" t="n">
        <v>1532.5</v>
      </c>
      <c r="G7" s="27">
        <f>E7*2</f>
        <v/>
      </c>
      <c r="H7" s="27">
        <f>G7*(1+Assumptions!$D$21)</f>
        <v/>
      </c>
      <c r="I7" s="27">
        <f>H7*(1+Assumptions!$D$21)</f>
        <v/>
      </c>
      <c r="J7" s="27">
        <f>I7*(1+Assumptions!$D$21)</f>
        <v/>
      </c>
      <c r="K7" s="27">
        <f>J7*(1+Assumptions!$D$21)</f>
        <v/>
      </c>
      <c r="M7" s="7" t="inlineStr">
        <is>
          <t>FY'26E = H1 2026 × 2</t>
        </is>
      </c>
    </row>
    <row r="8">
      <c r="B8" s="5" t="inlineStr">
        <is>
          <t>Residential Transitional Lending</t>
        </is>
      </c>
      <c r="C8" s="26" t="n">
        <v>257.8</v>
      </c>
      <c r="D8" s="26" t="n">
        <v>301.6</v>
      </c>
      <c r="E8" s="26" t="n">
        <v>191.2</v>
      </c>
      <c r="G8" s="27">
        <f>E8*2</f>
        <v/>
      </c>
      <c r="H8" s="27">
        <f>G8*(1+Assumptions!$D$22)</f>
        <v/>
      </c>
      <c r="I8" s="27">
        <f>H8*(1+Assumptions!$D$22)</f>
        <v/>
      </c>
      <c r="J8" s="27">
        <f>I8*(1+Assumptions!$D$22)</f>
        <v/>
      </c>
      <c r="K8" s="27">
        <f>J8*(1+Assumptions!$D$22)</f>
        <v/>
      </c>
    </row>
    <row r="9">
      <c r="B9" s="5" t="inlineStr">
        <is>
          <t>Asset Management</t>
        </is>
      </c>
      <c r="C9" s="26" t="n">
        <v>541.6</v>
      </c>
      <c r="D9" s="26" t="n">
        <v>698.6</v>
      </c>
      <c r="E9" s="26" t="n">
        <v>312.5</v>
      </c>
      <c r="G9" s="27">
        <f>E9*2</f>
        <v/>
      </c>
      <c r="H9" s="27">
        <f>G9*(1+Assumptions!$D$23)</f>
        <v/>
      </c>
      <c r="I9" s="27">
        <f>H9*(1+Assumptions!$D$23)</f>
        <v/>
      </c>
      <c r="J9" s="27">
        <f>I9*(1+Assumptions!$D$23)</f>
        <v/>
      </c>
      <c r="K9" s="27">
        <f>J9*(1+Assumptions!$D$23)</f>
        <v/>
      </c>
    </row>
    <row r="10">
      <c r="B10" s="5" t="inlineStr">
        <is>
          <t>Investment Portfolio</t>
        </is>
      </c>
      <c r="C10" s="26" t="n">
        <v>436.2</v>
      </c>
      <c r="D10" s="26" t="n">
        <v>444.5</v>
      </c>
      <c r="E10" s="26" t="n">
        <v>257.6</v>
      </c>
      <c r="G10" s="27">
        <f>E10*2</f>
        <v/>
      </c>
      <c r="H10" s="27">
        <f>G10*(1+Assumptions!$D$24)</f>
        <v/>
      </c>
      <c r="I10" s="27">
        <f>H10*(1+Assumptions!$D$24)</f>
        <v/>
      </c>
      <c r="J10" s="27">
        <f>I10*(1+Assumptions!$D$24)</f>
        <v/>
      </c>
      <c r="K10" s="27">
        <f>J10*(1+Assumptions!$D$24)</f>
        <v/>
      </c>
    </row>
    <row r="11">
      <c r="B11" s="5" t="inlineStr">
        <is>
          <t>Commercial Real Estate</t>
        </is>
      </c>
      <c r="E11" s="26" t="n">
        <v>367.9</v>
      </c>
      <c r="G11" s="27">
        <f>E11*2</f>
        <v/>
      </c>
      <c r="H11" s="27">
        <f>G11*(1+Assumptions!$D$25)</f>
        <v/>
      </c>
      <c r="I11" s="27">
        <f>H11*(1+Assumptions!$D$25)</f>
        <v/>
      </c>
      <c r="J11" s="27">
        <f>I11*(1+Assumptions!$D$25)</f>
        <v/>
      </c>
      <c r="K11" s="27">
        <f>J11*(1+Assumptions!$D$25)</f>
        <v/>
      </c>
    </row>
    <row r="12">
      <c r="B12" s="5" t="inlineStr">
        <is>
          <t>Corporate</t>
        </is>
      </c>
      <c r="C12" s="26" t="n">
        <v>0</v>
      </c>
      <c r="D12" s="26" t="n">
        <v>10.5</v>
      </c>
      <c r="E12" s="26" t="n">
        <v>5.3</v>
      </c>
      <c r="G12" s="27">
        <f>$E12*2</f>
        <v/>
      </c>
      <c r="H12" s="27">
        <f>$E12*2</f>
        <v/>
      </c>
      <c r="I12" s="27">
        <f>$E12*2</f>
        <v/>
      </c>
      <c r="J12" s="27">
        <f>$E12*2</f>
        <v/>
      </c>
      <c r="K12" s="27">
        <f>$E12*2</f>
        <v/>
      </c>
    </row>
    <row r="13">
      <c r="B13" s="2" t="inlineStr">
        <is>
          <t>Total segment revenue</t>
        </is>
      </c>
      <c r="C13" s="28">
        <f>SUM(C7:C12)</f>
        <v/>
      </c>
      <c r="D13" s="28">
        <f>SUM(D7:D12)</f>
        <v/>
      </c>
      <c r="E13" s="28">
        <f>SUM(E7:E12)</f>
        <v/>
      </c>
      <c r="G13" s="28">
        <f>SUM(G7:G12)</f>
        <v/>
      </c>
      <c r="H13" s="28">
        <f>SUM(H7:H12)</f>
        <v/>
      </c>
      <c r="I13" s="28">
        <f>SUM(I7:I12)</f>
        <v/>
      </c>
      <c r="J13" s="28">
        <f>SUM(J7:J12)</f>
        <v/>
      </c>
      <c r="K13" s="28">
        <f>SUM(K7:K12)</f>
        <v/>
      </c>
    </row>
    <row r="15">
      <c r="B15" s="8" t="inlineStr">
        <is>
          <t>Segment Pre-Tax Income ($mm)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C16" s="17" t="inlineStr">
        <is>
          <t>FY2024</t>
        </is>
      </c>
      <c r="D16" s="17" t="inlineStr">
        <is>
          <t>FY2025</t>
        </is>
      </c>
      <c r="E16" s="17" t="inlineStr">
        <is>
          <t>H1 2026</t>
        </is>
      </c>
      <c r="G16" s="25" t="inlineStr">
        <is>
          <t>FY'26E</t>
        </is>
      </c>
      <c r="H16" s="25" t="inlineStr">
        <is>
          <t>FY'27E</t>
        </is>
      </c>
      <c r="I16" s="25" t="inlineStr">
        <is>
          <t>FY'28E</t>
        </is>
      </c>
      <c r="J16" s="25" t="inlineStr">
        <is>
          <t>FY'29E</t>
        </is>
      </c>
      <c r="K16" s="25" t="inlineStr">
        <is>
          <t>FY'30E</t>
        </is>
      </c>
    </row>
    <row r="17">
      <c r="B17" s="5" t="inlineStr">
        <is>
          <t>Origination &amp; Servicing</t>
        </is>
      </c>
      <c r="C17" s="26" t="n">
        <v>1112.8</v>
      </c>
      <c r="D17" s="26" t="n">
        <v>661.7</v>
      </c>
      <c r="E17" s="26" t="n">
        <v>363.7</v>
      </c>
      <c r="G17" s="27">
        <f>G7*G27</f>
        <v/>
      </c>
      <c r="H17" s="27">
        <f>H7*H27</f>
        <v/>
      </c>
      <c r="I17" s="27">
        <f>I7*I27</f>
        <v/>
      </c>
      <c r="J17" s="27">
        <f>J7*J27</f>
        <v/>
      </c>
      <c r="K17" s="27">
        <f>K7*K27</f>
        <v/>
      </c>
    </row>
    <row r="18">
      <c r="B18" s="5" t="inlineStr">
        <is>
          <t>Residential Transitional Lending</t>
        </is>
      </c>
      <c r="C18" s="26" t="n">
        <v>111.4</v>
      </c>
      <c r="D18" s="26" t="n">
        <v>87.7</v>
      </c>
      <c r="E18" s="26" t="n">
        <v>60.2</v>
      </c>
      <c r="G18" s="27">
        <f>G8*G28</f>
        <v/>
      </c>
      <c r="H18" s="27">
        <f>H8*H28</f>
        <v/>
      </c>
      <c r="I18" s="27">
        <f>I8*I28</f>
        <v/>
      </c>
      <c r="J18" s="27">
        <f>J8*J28</f>
        <v/>
      </c>
      <c r="K18" s="27">
        <f>K8*K28</f>
        <v/>
      </c>
    </row>
    <row r="19">
      <c r="B19" s="5" t="inlineStr">
        <is>
          <t>Asset Management</t>
        </is>
      </c>
      <c r="C19" s="26" t="n">
        <v>63.4</v>
      </c>
      <c r="D19" s="26" t="n">
        <v>101</v>
      </c>
      <c r="E19" s="26" t="n">
        <v>-14.7</v>
      </c>
      <c r="G19" s="27">
        <f>G9*G29</f>
        <v/>
      </c>
      <c r="H19" s="27">
        <f>H9*H29</f>
        <v/>
      </c>
      <c r="I19" s="27">
        <f>I9*I29</f>
        <v/>
      </c>
      <c r="J19" s="27">
        <f>J9*J29</f>
        <v/>
      </c>
      <c r="K19" s="27">
        <f>K9*K29</f>
        <v/>
      </c>
    </row>
    <row r="20">
      <c r="B20" s="5" t="inlineStr">
        <is>
          <t>Investment Portfolio</t>
        </is>
      </c>
      <c r="C20" s="26" t="n">
        <v>89.7</v>
      </c>
      <c r="D20" s="26" t="n">
        <v>171.1</v>
      </c>
      <c r="E20" s="26" t="n">
        <v>51</v>
      </c>
      <c r="G20" s="27">
        <f>G10*G30</f>
        <v/>
      </c>
      <c r="H20" s="27">
        <f>H10*H30</f>
        <v/>
      </c>
      <c r="I20" s="27">
        <f>I10*I30</f>
        <v/>
      </c>
      <c r="J20" s="27">
        <f>J10*J30</f>
        <v/>
      </c>
      <c r="K20" s="27">
        <f>K10*K30</f>
        <v/>
      </c>
    </row>
    <row r="21">
      <c r="B21" s="5" t="inlineStr">
        <is>
          <t>Commercial Real Estate</t>
        </is>
      </c>
      <c r="E21" s="26" t="n">
        <v>-69.40000000000001</v>
      </c>
      <c r="G21" s="27">
        <f>G11*G31</f>
        <v/>
      </c>
      <c r="H21" s="27">
        <f>H11*H31</f>
        <v/>
      </c>
      <c r="I21" s="27">
        <f>I11*I31</f>
        <v/>
      </c>
      <c r="J21" s="27">
        <f>J11*J31</f>
        <v/>
      </c>
      <c r="K21" s="27">
        <f>K11*K31</f>
        <v/>
      </c>
    </row>
    <row r="22">
      <c r="B22" s="5" t="inlineStr">
        <is>
          <t>Corporate</t>
        </is>
      </c>
      <c r="C22" s="26" t="n">
        <v>-168.5</v>
      </c>
      <c r="D22" s="26" t="n">
        <v>-215.1</v>
      </c>
      <c r="E22" s="26" t="n">
        <v>-149.7</v>
      </c>
      <c r="G22" s="29">
        <f>Assumptions!$D$42</f>
        <v/>
      </c>
      <c r="H22" s="27">
        <f>G22*(1+Assumptions!$D$43)</f>
        <v/>
      </c>
      <c r="I22" s="27">
        <f>H22*(1+Assumptions!$D$43)</f>
        <v/>
      </c>
      <c r="J22" s="27">
        <f>I22*(1+Assumptions!$D$43)</f>
        <v/>
      </c>
      <c r="K22" s="27">
        <f>J22*(1+Assumptions!$D$43)</f>
        <v/>
      </c>
    </row>
    <row r="23">
      <c r="B23" s="2" t="inlineStr">
        <is>
          <t>Total pre-tax income (core for forecast years)</t>
        </is>
      </c>
      <c r="C23" s="28">
        <f>SUM(C17:C22)</f>
        <v/>
      </c>
      <c r="D23" s="28">
        <f>SUM(D17:D22)</f>
        <v/>
      </c>
      <c r="E23" s="28">
        <f>SUM(E17:E22)</f>
        <v/>
      </c>
      <c r="G23" s="28">
        <f>SUM(G17:G22)</f>
        <v/>
      </c>
      <c r="H23" s="28">
        <f>SUM(H17:H22)</f>
        <v/>
      </c>
      <c r="I23" s="28">
        <f>SUM(I17:I22)</f>
        <v/>
      </c>
      <c r="J23" s="28">
        <f>SUM(J17:J22)</f>
        <v/>
      </c>
      <c r="K23" s="28">
        <f>SUM(K17:K22)</f>
        <v/>
      </c>
    </row>
    <row r="25">
      <c r="B25" s="8" t="inlineStr">
        <is>
          <t>Segment Pre-Tax Margin</t>
        </is>
      </c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C26" s="17" t="inlineStr">
        <is>
          <t>FY2024</t>
        </is>
      </c>
      <c r="D26" s="17" t="inlineStr">
        <is>
          <t>FY2025</t>
        </is>
      </c>
      <c r="E26" s="17" t="inlineStr">
        <is>
          <t>H1 2026</t>
        </is>
      </c>
      <c r="G26" s="25" t="inlineStr">
        <is>
          <t>FY'26E</t>
        </is>
      </c>
      <c r="H26" s="25" t="inlineStr">
        <is>
          <t>FY'27E</t>
        </is>
      </c>
      <c r="I26" s="25" t="inlineStr">
        <is>
          <t>FY'28E</t>
        </is>
      </c>
      <c r="J26" s="25" t="inlineStr">
        <is>
          <t>FY'29E</t>
        </is>
      </c>
      <c r="K26" s="25" t="inlineStr">
        <is>
          <t>FY'30E</t>
        </is>
      </c>
    </row>
    <row r="27">
      <c r="B27" s="5" t="inlineStr">
        <is>
          <t>Origination &amp; Servicing</t>
        </is>
      </c>
      <c r="C27" s="30">
        <f>IF(AND(ISNUMBER(C7),C7&lt;&gt;0),C17/C7,"")</f>
        <v/>
      </c>
      <c r="D27" s="30">
        <f>IF(AND(ISNUMBER(D7),D7&lt;&gt;0),D17/D7,"")</f>
        <v/>
      </c>
      <c r="E27" s="30">
        <f>IF(AND(ISNUMBER(E7),E7&lt;&gt;0),E17/E7,"")</f>
        <v/>
      </c>
      <c r="G27" s="31">
        <f>Assumptions!$D$28+(Assumptions!$D$35-Assumptions!$D$28)*0/4</f>
        <v/>
      </c>
      <c r="H27" s="31">
        <f>Assumptions!$D$28+(Assumptions!$D$35-Assumptions!$D$28)*1/4</f>
        <v/>
      </c>
      <c r="I27" s="31">
        <f>Assumptions!$D$28+(Assumptions!$D$35-Assumptions!$D$28)*2/4</f>
        <v/>
      </c>
      <c r="J27" s="31">
        <f>Assumptions!$D$28+(Assumptions!$D$35-Assumptions!$D$28)*3/4</f>
        <v/>
      </c>
      <c r="K27" s="31">
        <f>Assumptions!$D$28+(Assumptions!$D$35-Assumptions!$D$28)*4/4</f>
        <v/>
      </c>
    </row>
    <row r="28">
      <c r="B28" s="5" t="inlineStr">
        <is>
          <t>Residential Transitional Lending</t>
        </is>
      </c>
      <c r="C28" s="30">
        <f>IF(AND(ISNUMBER(C8),C8&lt;&gt;0),C18/C8,"")</f>
        <v/>
      </c>
      <c r="D28" s="30">
        <f>IF(AND(ISNUMBER(D8),D8&lt;&gt;0),D18/D8,"")</f>
        <v/>
      </c>
      <c r="E28" s="30">
        <f>IF(AND(ISNUMBER(E8),E8&lt;&gt;0),E18/E8,"")</f>
        <v/>
      </c>
      <c r="G28" s="31">
        <f>Assumptions!$D$29+(Assumptions!$D$36-Assumptions!$D$29)*0/4</f>
        <v/>
      </c>
      <c r="H28" s="31">
        <f>Assumptions!$D$29+(Assumptions!$D$36-Assumptions!$D$29)*1/4</f>
        <v/>
      </c>
      <c r="I28" s="31">
        <f>Assumptions!$D$29+(Assumptions!$D$36-Assumptions!$D$29)*2/4</f>
        <v/>
      </c>
      <c r="J28" s="31">
        <f>Assumptions!$D$29+(Assumptions!$D$36-Assumptions!$D$29)*3/4</f>
        <v/>
      </c>
      <c r="K28" s="31">
        <f>Assumptions!$D$29+(Assumptions!$D$36-Assumptions!$D$29)*4/4</f>
        <v/>
      </c>
    </row>
    <row r="29">
      <c r="B29" s="5" t="inlineStr">
        <is>
          <t>Asset Management</t>
        </is>
      </c>
      <c r="C29" s="30">
        <f>IF(AND(ISNUMBER(C9),C9&lt;&gt;0),C19/C9,"")</f>
        <v/>
      </c>
      <c r="D29" s="30">
        <f>IF(AND(ISNUMBER(D9),D9&lt;&gt;0),D19/D9,"")</f>
        <v/>
      </c>
      <c r="E29" s="30">
        <f>IF(AND(ISNUMBER(E9),E9&lt;&gt;0),E19/E9,"")</f>
        <v/>
      </c>
      <c r="G29" s="31">
        <f>Assumptions!$D$30+(Assumptions!$D$37-Assumptions!$D$30)*0/4</f>
        <v/>
      </c>
      <c r="H29" s="31">
        <f>Assumptions!$D$30+(Assumptions!$D$37-Assumptions!$D$30)*1/4</f>
        <v/>
      </c>
      <c r="I29" s="31">
        <f>Assumptions!$D$30+(Assumptions!$D$37-Assumptions!$D$30)*2/4</f>
        <v/>
      </c>
      <c r="J29" s="31">
        <f>Assumptions!$D$30+(Assumptions!$D$37-Assumptions!$D$30)*3/4</f>
        <v/>
      </c>
      <c r="K29" s="31">
        <f>Assumptions!$D$30+(Assumptions!$D$37-Assumptions!$D$30)*4/4</f>
        <v/>
      </c>
    </row>
    <row r="30">
      <c r="B30" s="5" t="inlineStr">
        <is>
          <t>Investment Portfolio</t>
        </is>
      </c>
      <c r="C30" s="30">
        <f>IF(AND(ISNUMBER(C10),C10&lt;&gt;0),C20/C10,"")</f>
        <v/>
      </c>
      <c r="D30" s="30">
        <f>IF(AND(ISNUMBER(D10),D10&lt;&gt;0),D20/D10,"")</f>
        <v/>
      </c>
      <c r="E30" s="30">
        <f>IF(AND(ISNUMBER(E10),E10&lt;&gt;0),E20/E10,"")</f>
        <v/>
      </c>
      <c r="G30" s="31">
        <f>Assumptions!$D$31+(Assumptions!$D$38-Assumptions!$D$31)*0/4</f>
        <v/>
      </c>
      <c r="H30" s="31">
        <f>Assumptions!$D$31+(Assumptions!$D$38-Assumptions!$D$31)*1/4</f>
        <v/>
      </c>
      <c r="I30" s="31">
        <f>Assumptions!$D$31+(Assumptions!$D$38-Assumptions!$D$31)*2/4</f>
        <v/>
      </c>
      <c r="J30" s="31">
        <f>Assumptions!$D$31+(Assumptions!$D$38-Assumptions!$D$31)*3/4</f>
        <v/>
      </c>
      <c r="K30" s="31">
        <f>Assumptions!$D$31+(Assumptions!$D$38-Assumptions!$D$31)*4/4</f>
        <v/>
      </c>
    </row>
    <row r="31">
      <c r="B31" s="5" t="inlineStr">
        <is>
          <t>Commercial Real Estate</t>
        </is>
      </c>
      <c r="C31" s="30">
        <f>IF(AND(ISNUMBER(C11),C11&lt;&gt;0),C21/C11,"")</f>
        <v/>
      </c>
      <c r="D31" s="30">
        <f>IF(AND(ISNUMBER(D11),D11&lt;&gt;0),D21/D11,"")</f>
        <v/>
      </c>
      <c r="E31" s="30">
        <f>IF(AND(ISNUMBER(E11),E11&lt;&gt;0),E21/E11,"")</f>
        <v/>
      </c>
      <c r="G31" s="31">
        <f>Assumptions!$D$32+(Assumptions!$D$39-Assumptions!$D$32)*0/4</f>
        <v/>
      </c>
      <c r="H31" s="31">
        <f>Assumptions!$D$32+(Assumptions!$D$39-Assumptions!$D$32)*1/4</f>
        <v/>
      </c>
      <c r="I31" s="31">
        <f>Assumptions!$D$32+(Assumptions!$D$39-Assumptions!$D$32)*2/4</f>
        <v/>
      </c>
      <c r="J31" s="31">
        <f>Assumptions!$D$32+(Assumptions!$D$39-Assumptions!$D$32)*3/4</f>
        <v/>
      </c>
      <c r="K31" s="31">
        <f>Assumptions!$D$32+(Assumptions!$D$39-Assumptions!$D$32)*4/4</f>
        <v/>
      </c>
    </row>
    <row r="33">
      <c r="B33" s="8" t="inlineStr">
        <is>
          <t>Calibration Check: FY26E Core Pre-Tax Income vs. H1 2026 Run-Rate</t>
        </is>
      </c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B34" s="5" t="inlineStr">
        <is>
          <t>H1 2026 reported pre-tax income (sum of segments)</t>
        </is>
      </c>
      <c r="G34" s="27">
        <f>E23</f>
        <v/>
      </c>
    </row>
    <row r="35">
      <c r="B35" s="5" t="inlineStr">
        <is>
          <t>(+) Realized &amp; unrealized losses incl. MSR marks (EAD recon)</t>
        </is>
      </c>
      <c r="G35" s="29">
        <f>'Historical Financials'!E37</f>
        <v/>
      </c>
    </row>
    <row r="36">
      <c r="B36" s="5" t="inlineStr">
        <is>
          <t>(+) Other loss, net</t>
        </is>
      </c>
      <c r="G36" s="29">
        <f>'Historical Financials'!E38</f>
        <v/>
      </c>
    </row>
    <row r="37">
      <c r="B37" s="5" t="inlineStr">
        <is>
          <t>(+) Non-capitalized transaction expenses</t>
        </is>
      </c>
      <c r="G37" s="29">
        <f>'Historical Financials'!E40</f>
        <v/>
      </c>
    </row>
    <row r="38">
      <c r="B38" s="2" t="inlineStr">
        <is>
          <t>H1 2026 core pre-tax income</t>
        </is>
      </c>
      <c r="G38" s="32">
        <f>SUM(G34:G37)</f>
        <v/>
      </c>
    </row>
    <row r="39">
      <c r="B39" s="5" t="inlineStr">
        <is>
          <t>Annualized run-rate</t>
        </is>
      </c>
      <c r="G39" s="27">
        <f>G38*2</f>
        <v/>
      </c>
    </row>
    <row r="40">
      <c r="B40" s="2" t="inlineStr">
        <is>
          <t>FY'26E core pre-tax income (forecast)</t>
        </is>
      </c>
      <c r="G40" s="32">
        <f>G23</f>
        <v/>
      </c>
    </row>
    <row r="41">
      <c r="B41" s="2" t="inlineStr">
        <is>
          <t>Forecast vs. run-rate</t>
        </is>
      </c>
      <c r="G41" s="33">
        <f>G40/G39-1</f>
        <v/>
      </c>
      <c r="M41" s="7" t="inlineStr">
        <is>
          <t>Base-case margins are set so FY26E lands within a few % of the H1 2026 core run-rate.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4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2" customWidth="1" min="9" max="9"/>
    <col width="40" customWidth="1" min="10" max="10"/>
  </cols>
  <sheetData>
    <row r="2">
      <c r="B2" s="1" t="inlineStr">
        <is>
          <t>Rithm Capital Corp. – Historical Financials</t>
        </is>
      </c>
    </row>
    <row r="3">
      <c r="B3" s="7" t="inlineStr">
        <is>
          <t>($ in millions, except per-share data)</t>
        </is>
      </c>
    </row>
    <row r="5">
      <c r="B5" s="8" t="inlineStr">
        <is>
          <t>Consolidated (SEC 10-K XBRL)</t>
        </is>
      </c>
      <c r="C5" s="9" t="n"/>
      <c r="D5" s="9" t="n"/>
      <c r="E5" s="9" t="n"/>
      <c r="F5" s="9" t="n"/>
      <c r="G5" s="9" t="n"/>
      <c r="H5" s="9" t="n"/>
      <c r="I5" s="9" t="n"/>
      <c r="J5" s="9" t="n"/>
    </row>
    <row r="6">
      <c r="C6" s="17" t="inlineStr">
        <is>
          <t>FY2021</t>
        </is>
      </c>
      <c r="D6" s="17" t="inlineStr">
        <is>
          <t>FY2022</t>
        </is>
      </c>
      <c r="E6" s="17" t="inlineStr">
        <is>
          <t>FY2023</t>
        </is>
      </c>
      <c r="F6" s="17" t="inlineStr">
        <is>
          <t>FY2024</t>
        </is>
      </c>
      <c r="G6" s="17" t="inlineStr">
        <is>
          <t>FY2025</t>
        </is>
      </c>
      <c r="H6" s="17" t="inlineStr">
        <is>
          <t>Q2 2026</t>
        </is>
      </c>
    </row>
    <row r="7">
      <c r="B7" s="5" t="inlineStr">
        <is>
          <t>Total revenues</t>
        </is>
      </c>
      <c r="C7" s="26" t="n">
        <v>3728.562</v>
      </c>
      <c r="D7" s="26" t="n">
        <v>4920.801</v>
      </c>
      <c r="E7" s="26" t="n">
        <v>3732.625</v>
      </c>
      <c r="F7" s="26" t="n">
        <v>4917.492</v>
      </c>
      <c r="G7" s="26" t="n">
        <v>4590.228</v>
      </c>
    </row>
    <row r="8">
      <c r="B8" s="5" t="inlineStr">
        <is>
          <t>Total operating expenses</t>
        </is>
      </c>
      <c r="C8" s="26" t="n">
        <v>2618.845</v>
      </c>
      <c r="D8" s="26" t="n">
        <v>3351.475</v>
      </c>
      <c r="E8" s="26" t="n">
        <v>2949.521</v>
      </c>
      <c r="F8" s="26" t="n">
        <v>3838.577</v>
      </c>
      <c r="G8" s="26" t="n">
        <v>3992.876</v>
      </c>
    </row>
    <row r="9">
      <c r="B9" s="5" t="inlineStr">
        <is>
          <t>Income before income taxes</t>
        </is>
      </c>
      <c r="C9" s="26" t="n">
        <v>963.808</v>
      </c>
      <c r="D9" s="26" t="n">
        <v>1262.801</v>
      </c>
      <c r="E9" s="26" t="n">
        <v>752.833</v>
      </c>
      <c r="F9" s="26" t="n">
        <v>1208.809</v>
      </c>
      <c r="G9" s="26" t="n">
        <v>806.383</v>
      </c>
    </row>
    <row r="10">
      <c r="B10" s="5" t="inlineStr">
        <is>
          <t>Income tax expense</t>
        </is>
      </c>
      <c r="C10" s="26" t="n">
        <v>158.226</v>
      </c>
      <c r="D10" s="26" t="n">
        <v>279.516</v>
      </c>
      <c r="E10" s="26" t="n">
        <v>122.159</v>
      </c>
      <c r="F10" s="26" t="n">
        <v>267.317</v>
      </c>
      <c r="G10" s="26" t="n">
        <v>88.291</v>
      </c>
    </row>
    <row r="11">
      <c r="B11" s="5" t="inlineStr">
        <is>
          <t xml:space="preserve">   of which current (cash) tax</t>
        </is>
      </c>
      <c r="C11" s="26" t="n">
        <v>7.026</v>
      </c>
      <c r="D11" s="26" t="n">
        <v>8.349</v>
      </c>
      <c r="E11" s="26" t="n">
        <v>5.823</v>
      </c>
      <c r="F11" s="26" t="n">
        <v>12.915</v>
      </c>
      <c r="G11" s="26" t="n">
        <v>27.943</v>
      </c>
    </row>
    <row r="12">
      <c r="B12" s="5" t="inlineStr">
        <is>
          <t>Noncontrolling interests</t>
        </is>
      </c>
      <c r="C12" s="26" t="n">
        <v>33.356</v>
      </c>
      <c r="D12" s="26" t="n">
        <v>28.766</v>
      </c>
      <c r="E12" s="26" t="n">
        <v>8.417</v>
      </c>
      <c r="F12" s="26" t="n">
        <v>9.989000000000001</v>
      </c>
      <c r="G12" s="26" t="n">
        <v>8.82</v>
      </c>
    </row>
    <row r="13">
      <c r="B13" s="5" t="inlineStr">
        <is>
          <t>Preferred dividends</t>
        </is>
      </c>
      <c r="C13" s="26" t="n">
        <v>66.744</v>
      </c>
      <c r="D13" s="26" t="n">
        <v>89.726</v>
      </c>
      <c r="E13" s="26" t="n">
        <v>89.57899999999999</v>
      </c>
      <c r="F13" s="26" t="n">
        <v>96.456</v>
      </c>
      <c r="G13" s="26" t="n">
        <v>114.246</v>
      </c>
    </row>
    <row r="14">
      <c r="B14" s="2" t="inlineStr">
        <is>
          <t>Net income to common (GAAP)</t>
        </is>
      </c>
      <c r="C14" s="26" t="n">
        <v>705.482</v>
      </c>
      <c r="D14" s="26" t="n">
        <v>864.793</v>
      </c>
      <c r="E14" s="26" t="n">
        <v>532.678</v>
      </c>
      <c r="F14" s="26" t="n">
        <v>835.047</v>
      </c>
      <c r="G14" s="26" t="n">
        <v>567.2</v>
      </c>
    </row>
    <row r="15">
      <c r="B15" s="5" t="inlineStr">
        <is>
          <t>Diluted EPS (reported)</t>
        </is>
      </c>
      <c r="C15" s="34" t="n">
        <v>1.51</v>
      </c>
      <c r="D15" s="34" t="n">
        <v>1.8</v>
      </c>
      <c r="E15" s="34" t="n">
        <v>1.1</v>
      </c>
      <c r="F15" s="34" t="n">
        <v>1.67</v>
      </c>
      <c r="G15" s="34" t="n">
        <v>1.04</v>
      </c>
    </row>
    <row r="16">
      <c r="B16" s="5" t="inlineStr">
        <is>
          <t>Diluted shares (mm)</t>
        </is>
      </c>
      <c r="C16" s="35" t="n">
        <v>467.665006</v>
      </c>
      <c r="D16" s="35" t="n">
        <v>481.636125</v>
      </c>
      <c r="E16" s="35" t="n">
        <v>483.716715</v>
      </c>
      <c r="F16" s="35" t="n">
        <v>499.59767</v>
      </c>
      <c r="G16" s="35" t="n">
        <v>546.091491</v>
      </c>
    </row>
    <row r="17">
      <c r="B17" s="5" t="inlineStr">
        <is>
          <t>Dividends declared per share</t>
        </is>
      </c>
      <c r="C17" s="34" t="n">
        <v>0.9</v>
      </c>
      <c r="D17" s="34" t="n">
        <v>1</v>
      </c>
      <c r="E17" s="34" t="n">
        <v>1</v>
      </c>
      <c r="F17" s="34" t="n">
        <v>1</v>
      </c>
      <c r="G17" s="34" t="n">
        <v>1</v>
      </c>
    </row>
    <row r="18">
      <c r="B18" s="5" t="inlineStr">
        <is>
          <t>Common dividends paid</t>
        </is>
      </c>
      <c r="C18" s="26" t="n">
        <v>409.595</v>
      </c>
      <c r="D18" s="26" t="n">
        <v>470.413</v>
      </c>
      <c r="E18" s="26" t="n">
        <v>483.192</v>
      </c>
      <c r="F18" s="26" t="n">
        <v>503.399</v>
      </c>
      <c r="G18" s="26" t="n">
        <v>542.623</v>
      </c>
    </row>
    <row r="19">
      <c r="B19" s="5" t="inlineStr">
        <is>
          <t>Depreciation &amp; amortization</t>
        </is>
      </c>
      <c r="D19" s="26" t="n">
        <v>89.501</v>
      </c>
      <c r="E19" s="26" t="n">
        <v>80.681</v>
      </c>
      <c r="F19" s="26" t="n">
        <v>124.131</v>
      </c>
      <c r="G19" s="26" t="n">
        <v>107.477</v>
      </c>
    </row>
    <row r="20">
      <c r="B20" s="2" t="inlineStr">
        <is>
          <t>Balance sheet</t>
        </is>
      </c>
    </row>
    <row r="21">
      <c r="B21" s="5" t="inlineStr">
        <is>
          <t>Total assets</t>
        </is>
      </c>
      <c r="C21" s="36" t="n">
        <v>39742.19</v>
      </c>
      <c r="D21" s="36" t="n">
        <v>34586.508</v>
      </c>
      <c r="E21" s="36" t="n">
        <v>39717.084</v>
      </c>
      <c r="F21" s="36" t="n">
        <v>46048.957</v>
      </c>
      <c r="G21" s="36" t="n">
        <v>53063.126</v>
      </c>
      <c r="H21" s="36" t="n">
        <v>54108.868</v>
      </c>
    </row>
    <row r="22">
      <c r="B22" s="5" t="inlineStr">
        <is>
          <t>Total liabilities</t>
        </is>
      </c>
      <c r="C22" s="36" t="n">
        <v>33072.81</v>
      </c>
      <c r="D22" s="36" t="n">
        <v>27576.44</v>
      </c>
      <c r="E22" s="36" t="n">
        <v>32616.046</v>
      </c>
      <c r="F22" s="36" t="n">
        <v>38162.647</v>
      </c>
      <c r="G22" s="36" t="n">
        <v>43808.416</v>
      </c>
      <c r="H22" s="36" t="n">
        <v>44660.148</v>
      </c>
    </row>
    <row r="23">
      <c r="B23" s="5" t="inlineStr">
        <is>
          <t>Total stockholders' equity</t>
        </is>
      </c>
      <c r="C23" s="36" t="n">
        <v>6604.032</v>
      </c>
      <c r="D23" s="36" t="n">
        <v>6943.001</v>
      </c>
      <c r="E23" s="36" t="n">
        <v>7006.942</v>
      </c>
      <c r="F23" s="36" t="n">
        <v>7794.974</v>
      </c>
      <c r="G23" s="36" t="n">
        <v>8430.486999999999</v>
      </c>
      <c r="H23" s="36" t="n">
        <v>8516.861999999999</v>
      </c>
    </row>
    <row r="24">
      <c r="B24" s="5" t="inlineStr">
        <is>
          <t>Preferred equity</t>
        </is>
      </c>
      <c r="C24" s="36" t="n">
        <v>1262.481</v>
      </c>
      <c r="D24" s="36" t="n">
        <v>1257.254</v>
      </c>
      <c r="E24" s="36" t="n">
        <v>1257.254</v>
      </c>
      <c r="F24" s="36" t="n">
        <v>1257.254</v>
      </c>
      <c r="G24" s="36" t="n">
        <v>1390.79</v>
      </c>
      <c r="H24" s="36" t="n">
        <v>1632.915</v>
      </c>
    </row>
    <row r="25">
      <c r="B25" s="5" t="inlineStr">
        <is>
          <t>Noncontrolling interests (balance)</t>
        </is>
      </c>
      <c r="C25" s="36" t="n">
        <v>65.348</v>
      </c>
      <c r="D25" s="36" t="n">
        <v>67.06699999999999</v>
      </c>
      <c r="E25" s="36" t="n">
        <v>94.096</v>
      </c>
      <c r="F25" s="36" t="n">
        <v>91.336</v>
      </c>
      <c r="G25" s="36" t="n">
        <v>509.92</v>
      </c>
      <c r="H25" s="36" t="n">
        <v>534.552</v>
      </c>
    </row>
    <row r="26">
      <c r="B26" s="5" t="inlineStr">
        <is>
          <t>MSRs at fair value</t>
        </is>
      </c>
      <c r="C26" s="36" t="n">
        <v>6858.803</v>
      </c>
      <c r="D26" s="36" t="n">
        <v>8889.403</v>
      </c>
      <c r="E26" s="36" t="n">
        <v>8405.938</v>
      </c>
      <c r="F26" s="36" t="n">
        <v>10321.671</v>
      </c>
      <c r="G26" s="36" t="n">
        <v>10359.141</v>
      </c>
      <c r="H26" s="36" t="n">
        <v>11091.483</v>
      </c>
    </row>
    <row r="27">
      <c r="B27" s="5" t="inlineStr">
        <is>
          <t>Common shares outstanding (mm)</t>
        </is>
      </c>
      <c r="C27" s="35" t="n">
        <v>466.758266</v>
      </c>
      <c r="D27" s="35" t="n">
        <v>473.7151</v>
      </c>
      <c r="E27" s="35" t="n">
        <v>483.226239</v>
      </c>
      <c r="F27" s="35" t="n">
        <v>520.656256</v>
      </c>
      <c r="G27" s="35" t="n">
        <v>555.880947</v>
      </c>
      <c r="H27" s="35" t="n">
        <v>558.407031</v>
      </c>
    </row>
    <row r="28">
      <c r="B28" s="2" t="inlineStr">
        <is>
          <t>Common equity</t>
        </is>
      </c>
      <c r="C28" s="37">
        <f>C23-C24</f>
        <v/>
      </c>
      <c r="D28" s="37">
        <f>D23-D24</f>
        <v/>
      </c>
      <c r="E28" s="37">
        <f>E23-E24</f>
        <v/>
      </c>
      <c r="F28" s="37">
        <f>F23-F24</f>
        <v/>
      </c>
      <c r="G28" s="37">
        <f>G23-G24</f>
        <v/>
      </c>
      <c r="H28" s="37">
        <f>H23-H24</f>
        <v/>
      </c>
      <c r="I28" s="37">
        <f>H28</f>
        <v/>
      </c>
    </row>
    <row r="29">
      <c r="B29" s="2" t="inlineStr">
        <is>
          <t>Book value per common share</t>
        </is>
      </c>
      <c r="C29" s="38">
        <f>C28/C27</f>
        <v/>
      </c>
      <c r="D29" s="38">
        <f>D28/D27</f>
        <v/>
      </c>
      <c r="E29" s="38">
        <f>E28/E27</f>
        <v/>
      </c>
      <c r="F29" s="38">
        <f>F28/F27</f>
        <v/>
      </c>
      <c r="G29" s="38">
        <f>G28/G27</f>
        <v/>
      </c>
      <c r="H29" s="38">
        <f>H28/H27</f>
        <v/>
      </c>
      <c r="I29" s="39">
        <f>H29</f>
        <v/>
      </c>
      <c r="J29" s="7" t="inlineStr">
        <is>
          <t>Q2 2026 book value; reported $12.33</t>
        </is>
      </c>
    </row>
    <row r="30">
      <c r="B30" t="inlineStr">
        <is>
          <t>Return on average common equity (GAAP)</t>
        </is>
      </c>
      <c r="D30" s="30">
        <f>D14/AVERAGE(C28,D28)</f>
        <v/>
      </c>
      <c r="E30" s="30">
        <f>E14/AVERAGE(D28,E28)</f>
        <v/>
      </c>
      <c r="F30" s="30">
        <f>F14/AVERAGE(E28,F28)</f>
        <v/>
      </c>
      <c r="G30" s="30">
        <f>G14/AVERAGE(F28,G28)</f>
        <v/>
      </c>
    </row>
    <row r="31">
      <c r="B31" t="inlineStr">
        <is>
          <t>Dividend payout (dividends declared ÷ GAAP EPS)</t>
        </is>
      </c>
      <c r="C31" s="30">
        <f>C17/C15</f>
        <v/>
      </c>
      <c r="D31" s="30">
        <f>D17/D15</f>
        <v/>
      </c>
      <c r="E31" s="30">
        <f>E17/E15</f>
        <v/>
      </c>
      <c r="F31" s="30">
        <f>F17/F15</f>
        <v/>
      </c>
      <c r="G31" s="30">
        <f>G17/G15</f>
        <v/>
      </c>
    </row>
    <row r="32">
      <c r="B32" t="inlineStr">
        <is>
          <t>Leverage (total liabilities ÷ total equity)</t>
        </is>
      </c>
      <c r="C32" s="40">
        <f>C22/C23</f>
        <v/>
      </c>
      <c r="D32" s="40">
        <f>D22/D23</f>
        <v/>
      </c>
      <c r="E32" s="40">
        <f>E22/E23</f>
        <v/>
      </c>
      <c r="F32" s="40">
        <f>F22/F23</f>
        <v/>
      </c>
      <c r="G32" s="40">
        <f>G22/G23</f>
        <v/>
      </c>
      <c r="H32" s="40">
        <f>H22/H23</f>
        <v/>
      </c>
    </row>
    <row r="34">
      <c r="B34" s="8" t="inlineStr">
        <is>
          <t>Earnings Available for Distribution (EAD) Reconciliation – Q2 2026 Earnings Release</t>
        </is>
      </c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C35" s="17" t="inlineStr">
        <is>
          <t>Q1 2026</t>
        </is>
      </c>
      <c r="D35" s="17" t="inlineStr">
        <is>
          <t>Q2 2026</t>
        </is>
      </c>
      <c r="E35" s="17" t="inlineStr">
        <is>
          <t>H1 2026</t>
        </is>
      </c>
    </row>
    <row r="36">
      <c r="B36" s="5" t="inlineStr">
        <is>
          <t>GAAP net income to common</t>
        </is>
      </c>
      <c r="C36" s="26" t="n">
        <v>67.831</v>
      </c>
      <c r="D36" s="26" t="n">
        <v>20.193</v>
      </c>
      <c r="E36" s="27">
        <f>C36+D36</f>
        <v/>
      </c>
      <c r="J36" s="7" t="inlineStr">
        <is>
          <t>EAD excludes MSR valuation-input changes and hedge marks but keeps MSR runoff.</t>
        </is>
      </c>
    </row>
    <row r="37">
      <c r="B37" s="5" t="inlineStr">
        <is>
          <t>Realized &amp; unrealized losses incl. MSR valuation changes</t>
        </is>
      </c>
      <c r="C37" s="26" t="n">
        <v>71.84399999999999</v>
      </c>
      <c r="D37" s="26" t="n">
        <v>181.11</v>
      </c>
      <c r="E37" s="27">
        <f>C37+D37</f>
        <v/>
      </c>
    </row>
    <row r="38">
      <c r="B38" s="5" t="inlineStr">
        <is>
          <t>Other loss, net</t>
        </is>
      </c>
      <c r="C38" s="26" t="n">
        <v>15.633</v>
      </c>
      <c r="D38" s="26" t="n">
        <v>14.206</v>
      </c>
      <c r="E38" s="27">
        <f>C38+D38</f>
        <v/>
      </c>
    </row>
    <row r="39">
      <c r="B39" s="5" t="inlineStr">
        <is>
          <t>Depreciation &amp; amortization</t>
        </is>
      </c>
      <c r="C39" s="26" t="n">
        <v>87.28</v>
      </c>
      <c r="D39" s="26" t="n">
        <v>87.913</v>
      </c>
      <c r="E39" s="27">
        <f>C39+D39</f>
        <v/>
      </c>
    </row>
    <row r="40">
      <c r="B40" s="5" t="inlineStr">
        <is>
          <t>Non-capitalized transaction expenses</t>
        </is>
      </c>
      <c r="C40" s="26" t="n">
        <v>8.33</v>
      </c>
      <c r="D40" s="26" t="n">
        <v>21.87</v>
      </c>
      <c r="E40" s="27">
        <f>C40+D40</f>
        <v/>
      </c>
    </row>
    <row r="41">
      <c r="B41" s="5" t="inlineStr">
        <is>
          <t>Deferred taxes</t>
        </is>
      </c>
      <c r="C41" s="26" t="n">
        <v>38.718</v>
      </c>
      <c r="D41" s="26" t="n">
        <v>13.636</v>
      </c>
      <c r="E41" s="27">
        <f>C41+D41</f>
        <v/>
      </c>
    </row>
    <row r="42">
      <c r="B42" s="2" t="inlineStr">
        <is>
          <t>EAD (non-GAAP)</t>
        </is>
      </c>
      <c r="C42" s="26" t="n">
        <v>289.636</v>
      </c>
      <c r="D42" s="26" t="n">
        <v>338.928</v>
      </c>
      <c r="E42" s="27">
        <f>C42+D42</f>
        <v/>
      </c>
    </row>
    <row r="43">
      <c r="B43" t="inlineStr">
        <is>
          <t>EAD per diluted share</t>
        </is>
      </c>
      <c r="C43" s="34" t="n">
        <v>0.51</v>
      </c>
      <c r="D43" s="34" t="n">
        <v>0.6</v>
      </c>
      <c r="E43" s="38">
        <f>C43+D43</f>
        <v/>
      </c>
    </row>
    <row r="44">
      <c r="B44" t="inlineStr">
        <is>
          <t>Check: components sum to EAD</t>
        </is>
      </c>
      <c r="E44" s="41">
        <f>ROUND(SUM(E36:E41)-E42,1)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K2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9" customWidth="1" min="3" max="3"/>
    <col width="22" customWidth="1" min="4" max="4"/>
    <col width="10" customWidth="1" min="5" max="5"/>
    <col width="10" customWidth="1" min="6" max="6"/>
    <col width="10" customWidth="1" min="7" max="7"/>
    <col width="11" customWidth="1" min="8" max="8"/>
    <col width="11" customWidth="1" min="9" max="9"/>
    <col width="2" customWidth="1" min="10" max="10"/>
    <col width="40" customWidth="1" min="11" max="11"/>
  </cols>
  <sheetData>
    <row r="2">
      <c r="B2" s="1" t="inlineStr">
        <is>
          <t>Rithm Capital Corp. – Cost of Equity</t>
        </is>
      </c>
    </row>
    <row r="3">
      <c r="B3" s="7" t="inlineStr">
        <is>
          <t>($ in millions, except per-share data)</t>
        </is>
      </c>
    </row>
    <row r="5">
      <c r="B5" s="8" t="inlineStr">
        <is>
          <t>Peer-Implied Cost of Equity (same method as the A10 model)</t>
        </is>
      </c>
      <c r="C5" s="9" t="n"/>
      <c r="D5" s="9" t="n"/>
      <c r="E5" s="9" t="n"/>
      <c r="F5" s="9" t="n"/>
      <c r="G5" s="9" t="n"/>
      <c r="H5" s="9" t="n"/>
      <c r="I5" s="9" t="n"/>
    </row>
    <row r="6">
      <c r="B6" s="17" t="inlineStr">
        <is>
          <t>Company</t>
        </is>
      </c>
      <c r="C6" s="17" t="inlineStr">
        <is>
          <t>Ticker</t>
        </is>
      </c>
      <c r="D6" s="17" t="inlineStr">
        <is>
          <t>Business</t>
        </is>
      </c>
      <c r="E6" s="17" t="inlineStr">
        <is>
          <t>Fwd P/E</t>
        </is>
      </c>
      <c r="F6" s="17" t="inlineStr">
        <is>
          <t>P/B</t>
        </is>
      </c>
      <c r="G6" s="17" t="inlineStr">
        <is>
          <t>Div. yield</t>
        </is>
      </c>
      <c r="H6" s="17" t="inlineStr">
        <is>
          <t>Beta</t>
        </is>
      </c>
      <c r="I6" s="17" t="inlineStr">
        <is>
          <t>Implied k</t>
        </is>
      </c>
    </row>
    <row r="7">
      <c r="B7" s="5" t="inlineStr">
        <is>
          <t>Annaly Capital Management</t>
        </is>
      </c>
      <c r="C7" s="5" t="inlineStr">
        <is>
          <t>NLY</t>
        </is>
      </c>
      <c r="D7" s="5" t="inlineStr">
        <is>
          <t>Agency mREIT</t>
        </is>
      </c>
      <c r="E7" s="42">
        <f>'Comps Valuation'!E7</f>
        <v/>
      </c>
      <c r="F7" s="42">
        <f>'Comps Valuation'!F7</f>
        <v/>
      </c>
      <c r="G7" s="31">
        <f>'Comps Valuation'!G7</f>
        <v/>
      </c>
      <c r="H7" s="43">
        <f>'Comps Valuation'!I7</f>
        <v/>
      </c>
      <c r="I7" s="30">
        <f>1/E7+Assumptions!$D$56</f>
        <v/>
      </c>
      <c r="K7" s="7" t="inlineStr">
        <is>
          <t>Implied k = 1 ÷ forward P/E + long-run growth (Assumptions!D56). Mortgage REITs pay out most earnings and do not compound, so growth is set to 0%.</t>
        </is>
      </c>
    </row>
    <row r="8">
      <c r="B8" s="5" t="inlineStr">
        <is>
          <t>AGNC Investment</t>
        </is>
      </c>
      <c r="C8" s="5" t="inlineStr">
        <is>
          <t>AGNC</t>
        </is>
      </c>
      <c r="D8" s="5" t="inlineStr">
        <is>
          <t>Agency mREIT</t>
        </is>
      </c>
      <c r="E8" s="42">
        <f>'Comps Valuation'!E8</f>
        <v/>
      </c>
      <c r="F8" s="42">
        <f>'Comps Valuation'!F8</f>
        <v/>
      </c>
      <c r="G8" s="31">
        <f>'Comps Valuation'!G8</f>
        <v/>
      </c>
      <c r="H8" s="43">
        <f>'Comps Valuation'!I8</f>
        <v/>
      </c>
      <c r="I8" s="30">
        <f>1/E8+Assumptions!$D$56</f>
        <v/>
      </c>
    </row>
    <row r="9">
      <c r="B9" s="5" t="inlineStr">
        <is>
          <t>PennyMac Financial Services</t>
        </is>
      </c>
      <c r="C9" s="5" t="inlineStr">
        <is>
          <t>PFSI</t>
        </is>
      </c>
      <c r="D9" s="5" t="inlineStr">
        <is>
          <t>Originator / servicer</t>
        </is>
      </c>
      <c r="E9" s="42">
        <f>'Comps Valuation'!E9</f>
        <v/>
      </c>
      <c r="F9" s="42">
        <f>'Comps Valuation'!F9</f>
        <v/>
      </c>
      <c r="G9" s="31">
        <f>'Comps Valuation'!G9</f>
        <v/>
      </c>
      <c r="H9" s="43">
        <f>'Comps Valuation'!I9</f>
        <v/>
      </c>
      <c r="I9" s="30">
        <f>1/E9+Assumptions!$D$56</f>
        <v/>
      </c>
    </row>
    <row r="10">
      <c r="B10" s="5" t="inlineStr">
        <is>
          <t>Rocket Companies</t>
        </is>
      </c>
      <c r="C10" s="5" t="inlineStr">
        <is>
          <t>RKT</t>
        </is>
      </c>
      <c r="D10" s="5" t="inlineStr">
        <is>
          <t>Originator / servicer</t>
        </is>
      </c>
      <c r="E10" s="42">
        <f>'Comps Valuation'!E10</f>
        <v/>
      </c>
      <c r="F10" s="42">
        <f>'Comps Valuation'!F10</f>
        <v/>
      </c>
      <c r="G10" s="31">
        <f>'Comps Valuation'!G10</f>
        <v/>
      </c>
      <c r="H10" s="43">
        <f>'Comps Valuation'!I10</f>
        <v/>
      </c>
      <c r="I10" s="30">
        <f>1/E10+Assumptions!$D$56</f>
        <v/>
      </c>
    </row>
    <row r="11">
      <c r="B11" s="5" t="inlineStr">
        <is>
          <t>Starwood Property Trust</t>
        </is>
      </c>
      <c r="C11" s="5" t="inlineStr">
        <is>
          <t>STWD</t>
        </is>
      </c>
      <c r="D11" s="5" t="inlineStr">
        <is>
          <t>Diversified / commercial REIT</t>
        </is>
      </c>
      <c r="E11" s="42">
        <f>'Comps Valuation'!E11</f>
        <v/>
      </c>
      <c r="F11" s="42">
        <f>'Comps Valuation'!F11</f>
        <v/>
      </c>
      <c r="G11" s="31">
        <f>'Comps Valuation'!G11</f>
        <v/>
      </c>
      <c r="H11" s="43">
        <f>'Comps Valuation'!I11</f>
        <v/>
      </c>
      <c r="I11" s="30">
        <f>1/E11+Assumptions!$D$56</f>
        <v/>
      </c>
    </row>
    <row r="13">
      <c r="B13" s="2" t="inlineStr">
        <is>
          <t>Median</t>
        </is>
      </c>
      <c r="H13" s="44">
        <f>MEDIAN(H7:H11)</f>
        <v/>
      </c>
      <c r="I13" s="45">
        <f>MEDIAN(I7:I11)</f>
        <v/>
      </c>
    </row>
    <row r="14">
      <c r="B14" t="inlineStr">
        <is>
          <t>Mean</t>
        </is>
      </c>
      <c r="I14" s="30">
        <f>AVERAGE(I7:I11)</f>
        <v/>
      </c>
    </row>
    <row r="16">
      <c r="B16" s="8" t="inlineStr">
        <is>
          <t>CAPM</t>
        </is>
      </c>
      <c r="C16" s="9" t="n"/>
      <c r="D16" s="9" t="n"/>
      <c r="E16" s="9" t="n"/>
      <c r="F16" s="9" t="n"/>
      <c r="G16" s="9" t="n"/>
      <c r="H16" s="9" t="n"/>
      <c r="I16" s="9" t="n"/>
    </row>
    <row r="17">
      <c r="B17" s="5" t="inlineStr">
        <is>
          <t>Risk-free rate</t>
        </is>
      </c>
      <c r="I17" s="46">
        <f>Assumptions!D53</f>
        <v/>
      </c>
    </row>
    <row r="18">
      <c r="B18" s="5" t="inlineStr">
        <is>
          <t>RITM beta</t>
        </is>
      </c>
      <c r="I18" s="43">
        <f>Assumptions!D54</f>
        <v/>
      </c>
    </row>
    <row r="19">
      <c r="B19" s="5" t="inlineStr">
        <is>
          <t>Equity risk premium</t>
        </is>
      </c>
      <c r="I19" s="46">
        <f>Assumptions!D55</f>
        <v/>
      </c>
    </row>
    <row r="20">
      <c r="B20" s="2" t="inlineStr">
        <is>
          <t>CAPM cost of equity</t>
        </is>
      </c>
      <c r="I20" s="47">
        <f>I17+I18*I19</f>
        <v/>
      </c>
    </row>
    <row r="22">
      <c r="B22" s="8" t="inlineStr">
        <is>
          <t>Selected Cost of Equity</t>
        </is>
      </c>
      <c r="C22" s="9" t="n"/>
      <c r="D22" s="9" t="n"/>
      <c r="E22" s="9" t="n"/>
      <c r="F22" s="9" t="n"/>
      <c r="G22" s="9" t="n"/>
      <c r="H22" s="9" t="n"/>
      <c r="I22" s="9" t="n"/>
    </row>
    <row r="23">
      <c r="B23" s="5" t="inlineStr">
        <is>
          <t>Peer-implied (median)</t>
        </is>
      </c>
      <c r="I23" s="48">
        <f>I13</f>
        <v/>
      </c>
    </row>
    <row r="24">
      <c r="B24" s="5" t="inlineStr">
        <is>
          <t>CAPM</t>
        </is>
      </c>
      <c r="I24" s="48">
        <f>I20</f>
        <v/>
      </c>
    </row>
    <row r="25">
      <c r="B25" s="5" t="inlineStr">
        <is>
          <t>Average</t>
        </is>
      </c>
      <c r="I25" s="48">
        <f>AVERAGE(I23:I24)</f>
        <v/>
      </c>
    </row>
    <row r="26">
      <c r="B26" s="5" t="inlineStr">
        <is>
          <t>Method selected (Assumptions!D66)</t>
        </is>
      </c>
      <c r="I26" s="49">
        <f>Assumptions!D66</f>
        <v/>
      </c>
    </row>
    <row r="27">
      <c r="B27" s="2" t="inlineStr">
        <is>
          <t>Target cost of equity (k)</t>
        </is>
      </c>
      <c r="I27" s="50">
        <f>CHOOSE(I26,I23,I24,I25)</f>
        <v/>
      </c>
      <c r="K27" s="7" t="inlineStr">
        <is>
          <t>Feeds OUT-DCF. Market-implied check: RITM itself trades at 3.8x forward EPS.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29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2" customWidth="1" min="8" max="8"/>
    <col width="40" customWidth="1" min="9" max="9"/>
  </cols>
  <sheetData>
    <row r="2">
      <c r="B2" s="1" t="inlineStr">
        <is>
          <t>Rithm Capital Corp. – Operating Model Output</t>
        </is>
      </c>
    </row>
    <row r="3">
      <c r="B3" s="7" t="inlineStr">
        <is>
          <t>($ in millions, except per-share data)</t>
        </is>
      </c>
    </row>
    <row r="5">
      <c r="B5" s="8" t="inlineStr">
        <is>
          <t>Core Earnings and Free Cash Flow to Equity</t>
        </is>
      </c>
      <c r="C5" s="9" t="n"/>
      <c r="D5" s="9" t="n"/>
      <c r="E5" s="9" t="n"/>
      <c r="F5" s="9" t="n"/>
      <c r="G5" s="9" t="n"/>
    </row>
    <row r="6">
      <c r="C6" s="25" t="inlineStr">
        <is>
          <t>FY'26E</t>
        </is>
      </c>
      <c r="D6" s="25" t="inlineStr">
        <is>
          <t>FY'27E</t>
        </is>
      </c>
      <c r="E6" s="25" t="inlineStr">
        <is>
          <t>FY'28E</t>
        </is>
      </c>
      <c r="F6" s="25" t="inlineStr">
        <is>
          <t>FY'29E</t>
        </is>
      </c>
      <c r="G6" s="25" t="inlineStr">
        <is>
          <t>FY'30E</t>
        </is>
      </c>
    </row>
    <row r="7">
      <c r="B7" s="5" t="inlineStr">
        <is>
          <t>Total segment revenue</t>
        </is>
      </c>
      <c r="C7" s="29">
        <f>'Segment Forecast'!G13</f>
        <v/>
      </c>
      <c r="D7" s="29">
        <f>'Segment Forecast'!H13</f>
        <v/>
      </c>
      <c r="E7" s="29">
        <f>'Segment Forecast'!I13</f>
        <v/>
      </c>
      <c r="F7" s="29">
        <f>'Segment Forecast'!J13</f>
        <v/>
      </c>
      <c r="G7" s="29">
        <f>'Segment Forecast'!K13</f>
        <v/>
      </c>
    </row>
    <row r="8">
      <c r="B8" s="5" t="inlineStr">
        <is>
          <t>Core pre-tax income</t>
        </is>
      </c>
      <c r="C8" s="29">
        <f>'Segment Forecast'!G23</f>
        <v/>
      </c>
      <c r="D8" s="29">
        <f>'Segment Forecast'!H23</f>
        <v/>
      </c>
      <c r="E8" s="29">
        <f>'Segment Forecast'!I23</f>
        <v/>
      </c>
      <c r="F8" s="29">
        <f>'Segment Forecast'!J23</f>
        <v/>
      </c>
      <c r="G8" s="29">
        <f>'Segment Forecast'!K23</f>
        <v/>
      </c>
    </row>
    <row r="9">
      <c r="B9" s="5" t="inlineStr">
        <is>
          <t>Core pre-tax margin</t>
        </is>
      </c>
      <c r="C9" s="30">
        <f>C8/C7</f>
        <v/>
      </c>
      <c r="D9" s="30">
        <f>D8/D7</f>
        <v/>
      </c>
      <c r="E9" s="30">
        <f>E8/E7</f>
        <v/>
      </c>
      <c r="F9" s="30">
        <f>F8/F7</f>
        <v/>
      </c>
      <c r="G9" s="30">
        <f>G8/G7</f>
        <v/>
      </c>
    </row>
    <row r="10">
      <c r="B10" s="5" t="inlineStr">
        <is>
          <t>( – ) Cash taxes</t>
        </is>
      </c>
      <c r="C10" s="27">
        <f>-C8*Assumptions!$D$44</f>
        <v/>
      </c>
      <c r="D10" s="27">
        <f>-D8*Assumptions!$D$44</f>
        <v/>
      </c>
      <c r="E10" s="27">
        <f>-E8*Assumptions!$D$44</f>
        <v/>
      </c>
      <c r="F10" s="27">
        <f>-F8*Assumptions!$D$44</f>
        <v/>
      </c>
      <c r="G10" s="27">
        <f>-G8*Assumptions!$D$44</f>
        <v/>
      </c>
    </row>
    <row r="11">
      <c r="B11" s="5" t="inlineStr">
        <is>
          <t>( – ) Noncontrolling interests</t>
        </is>
      </c>
      <c r="C11" s="29">
        <f>-Assumptions!$D$45</f>
        <v/>
      </c>
      <c r="D11" s="29">
        <f>-Assumptions!$D$45</f>
        <v/>
      </c>
      <c r="E11" s="29">
        <f>-Assumptions!$D$45</f>
        <v/>
      </c>
      <c r="F11" s="29">
        <f>-Assumptions!$D$45</f>
        <v/>
      </c>
      <c r="G11" s="29">
        <f>-Assumptions!$D$45</f>
        <v/>
      </c>
    </row>
    <row r="12">
      <c r="B12" s="5" t="inlineStr">
        <is>
          <t>( – ) Preferred dividends</t>
        </is>
      </c>
      <c r="C12" s="29">
        <f>-Assumptions!$D$46</f>
        <v/>
      </c>
      <c r="D12" s="29">
        <f>-Assumptions!$D$46</f>
        <v/>
      </c>
      <c r="E12" s="29">
        <f>-Assumptions!$D$46</f>
        <v/>
      </c>
      <c r="F12" s="29">
        <f>-Assumptions!$D$46</f>
        <v/>
      </c>
      <c r="G12" s="29">
        <f>-Assumptions!$D$46</f>
        <v/>
      </c>
    </row>
    <row r="13">
      <c r="B13" s="2" t="inlineStr">
        <is>
          <t>Core net income to common</t>
        </is>
      </c>
      <c r="C13" s="28">
        <f>SUM(C8,C10:C12)</f>
        <v/>
      </c>
      <c r="D13" s="28">
        <f>SUM(D8,D10:D12)</f>
        <v/>
      </c>
      <c r="E13" s="28">
        <f>SUM(E8,E10:E12)</f>
        <v/>
      </c>
      <c r="F13" s="28">
        <f>SUM(F8,F10:F12)</f>
        <v/>
      </c>
      <c r="G13" s="28">
        <f>SUM(G8,G10:G12)</f>
        <v/>
      </c>
    </row>
    <row r="14">
      <c r="B14" s="5" t="inlineStr">
        <is>
          <t>Core EPS (diluted)</t>
        </is>
      </c>
      <c r="C14" s="38">
        <f>C13/Assumptions!$D$9</f>
        <v/>
      </c>
      <c r="D14" s="38">
        <f>D13/Assumptions!$D$9</f>
        <v/>
      </c>
      <c r="E14" s="38">
        <f>E13/Assumptions!$D$9</f>
        <v/>
      </c>
      <c r="F14" s="38">
        <f>F13/Assumptions!$D$9</f>
        <v/>
      </c>
      <c r="G14" s="38">
        <f>G13/Assumptions!$D$9</f>
        <v/>
      </c>
    </row>
    <row r="16">
      <c r="B16" s="5" t="inlineStr">
        <is>
          <t>( + ) Depreciation &amp; amortization</t>
        </is>
      </c>
      <c r="C16" s="27">
        <f>C7*Assumptions!$D$47</f>
        <v/>
      </c>
      <c r="D16" s="27">
        <f>D7*Assumptions!$D$47</f>
        <v/>
      </c>
      <c r="E16" s="27">
        <f>E7*Assumptions!$D$47</f>
        <v/>
      </c>
      <c r="F16" s="27">
        <f>F7*Assumptions!$D$47</f>
        <v/>
      </c>
      <c r="G16" s="27">
        <f>G7*Assumptions!$D$47</f>
        <v/>
      </c>
    </row>
    <row r="17">
      <c r="B17" s="5" t="inlineStr">
        <is>
          <t>( – ) Maintenance capex</t>
        </is>
      </c>
      <c r="C17" s="27">
        <f>-C16*Assumptions!$D$48</f>
        <v/>
      </c>
      <c r="D17" s="27">
        <f>-D16*Assumptions!$D$48</f>
        <v/>
      </c>
      <c r="E17" s="27">
        <f>-E16*Assumptions!$D$48</f>
        <v/>
      </c>
      <c r="F17" s="27">
        <f>-F16*Assumptions!$D$48</f>
        <v/>
      </c>
      <c r="G17" s="27">
        <f>-G16*Assumptions!$D$48</f>
        <v/>
      </c>
    </row>
    <row r="18">
      <c r="B18" s="5" t="inlineStr">
        <is>
          <t>( – ) Equity retained to grow the balance sheet</t>
        </is>
      </c>
      <c r="C18" s="27">
        <f>-C24*Assumptions!$D$49</f>
        <v/>
      </c>
      <c r="D18" s="27">
        <f>-D24*Assumptions!$D$49</f>
        <v/>
      </c>
      <c r="E18" s="27">
        <f>-E24*Assumptions!$D$49</f>
        <v/>
      </c>
      <c r="F18" s="27">
        <f>-F24*Assumptions!$D$49</f>
        <v/>
      </c>
      <c r="G18" s="27">
        <f>-G24*Assumptions!$D$49</f>
        <v/>
      </c>
      <c r="I18" s="7" t="inlineStr">
        <is>
          <t>Replaces capex / working capital in the A10 model: equity a lender must retain to grow assets at constant leverage.</t>
        </is>
      </c>
    </row>
    <row r="19">
      <c r="B19" s="2" t="inlineStr">
        <is>
          <t>Free cash flow to common equity (FCFE)</t>
        </is>
      </c>
      <c r="C19" s="28">
        <f>SUM(C13,C16:C18)</f>
        <v/>
      </c>
      <c r="D19" s="28">
        <f>SUM(D13,D16:D18)</f>
        <v/>
      </c>
      <c r="E19" s="28">
        <f>SUM(E13,E16:E18)</f>
        <v/>
      </c>
      <c r="F19" s="28">
        <f>SUM(F13,F16:F18)</f>
        <v/>
      </c>
      <c r="G19" s="28">
        <f>SUM(G13,G16:G18)</f>
        <v/>
      </c>
    </row>
    <row r="20">
      <c r="B20" s="5" t="inlineStr">
        <is>
          <t>FCFE per diluted share</t>
        </is>
      </c>
      <c r="C20" s="38">
        <f>C19/Assumptions!$D$9</f>
        <v/>
      </c>
      <c r="D20" s="38">
        <f>D19/Assumptions!$D$9</f>
        <v/>
      </c>
      <c r="E20" s="38">
        <f>E19/Assumptions!$D$9</f>
        <v/>
      </c>
      <c r="F20" s="38">
        <f>F19/Assumptions!$D$9</f>
        <v/>
      </c>
      <c r="G20" s="38">
        <f>G19/Assumptions!$D$9</f>
        <v/>
      </c>
    </row>
    <row r="22">
      <c r="B22" s="5" t="inlineStr">
        <is>
          <t>Memo: EAD-style earnings (core NI + D&amp;A)</t>
        </is>
      </c>
      <c r="C22" s="27">
        <f>C13+C16</f>
        <v/>
      </c>
      <c r="D22" s="27">
        <f>D13+D16</f>
        <v/>
      </c>
      <c r="E22" s="27">
        <f>E13+E16</f>
        <v/>
      </c>
      <c r="F22" s="27">
        <f>F13+F16</f>
        <v/>
      </c>
      <c r="G22" s="27">
        <f>G13+G16</f>
        <v/>
      </c>
      <c r="I22" s="7" t="inlineStr">
        <is>
          <t>Cross-check: H1 2026 actual EAD annualizes to ~$2.19/share; FY'26E here should land close.</t>
        </is>
      </c>
    </row>
    <row r="23">
      <c r="B23" s="5" t="inlineStr">
        <is>
          <t>Memo: EAD-style per share</t>
        </is>
      </c>
      <c r="C23" s="38">
        <f>C22/Assumptions!$D$9</f>
        <v/>
      </c>
      <c r="D23" s="38">
        <f>D22/Assumptions!$D$9</f>
        <v/>
      </c>
      <c r="E23" s="38">
        <f>E22/Assumptions!$D$9</f>
        <v/>
      </c>
      <c r="F23" s="38">
        <f>F22/Assumptions!$D$9</f>
        <v/>
      </c>
      <c r="G23" s="38">
        <f>G22/Assumptions!$D$9</f>
        <v/>
      </c>
    </row>
    <row r="24">
      <c r="B24" s="5" t="inlineStr">
        <is>
          <t>Common equity, beginning of year</t>
        </is>
      </c>
      <c r="C24" s="37">
        <f>'Historical Financials'!H28</f>
        <v/>
      </c>
      <c r="D24" s="37">
        <f>C25</f>
        <v/>
      </c>
      <c r="E24" s="37">
        <f>D25</f>
        <v/>
      </c>
      <c r="F24" s="37">
        <f>E25</f>
        <v/>
      </c>
      <c r="G24" s="37">
        <f>F25</f>
        <v/>
      </c>
      <c r="I24" s="7" t="inlineStr">
        <is>
          <t>FY'26E starts from Q2 2026 common equity.</t>
        </is>
      </c>
    </row>
    <row r="25">
      <c r="B25" s="5" t="inlineStr">
        <is>
          <t>Common equity, end of year</t>
        </is>
      </c>
      <c r="C25" s="37">
        <f>C24*(1+Assumptions!$D$49)</f>
        <v/>
      </c>
      <c r="D25" s="37">
        <f>D24*(1+Assumptions!$D$49)</f>
        <v/>
      </c>
      <c r="E25" s="37">
        <f>E24*(1+Assumptions!$D$49)</f>
        <v/>
      </c>
      <c r="F25" s="37">
        <f>F24*(1+Assumptions!$D$49)</f>
        <v/>
      </c>
      <c r="G25" s="37">
        <f>G24*(1+Assumptions!$D$49)</f>
        <v/>
      </c>
    </row>
    <row r="26">
      <c r="B26" s="5" t="inlineStr">
        <is>
          <t>Core return on beginning common equity</t>
        </is>
      </c>
      <c r="C26" s="30">
        <f>C13/C24</f>
        <v/>
      </c>
      <c r="D26" s="30">
        <f>D13/D24</f>
        <v/>
      </c>
      <c r="E26" s="30">
        <f>E13/E24</f>
        <v/>
      </c>
      <c r="F26" s="30">
        <f>F13/F24</f>
        <v/>
      </c>
      <c r="G26" s="30">
        <f>G13/G24</f>
        <v/>
      </c>
    </row>
    <row r="28">
      <c r="B28" s="5" t="inlineStr">
        <is>
          <t>Common dividends at current $1.00/share</t>
        </is>
      </c>
      <c r="C28" s="29">
        <f>Assumptions!$D$9*'Historical Financials'!$G$17</f>
        <v/>
      </c>
      <c r="D28" s="29">
        <f>Assumptions!$D$9*'Historical Financials'!$G$17</f>
        <v/>
      </c>
      <c r="E28" s="29">
        <f>Assumptions!$D$9*'Historical Financials'!$G$17</f>
        <v/>
      </c>
      <c r="F28" s="29">
        <f>Assumptions!$D$9*'Historical Financials'!$G$17</f>
        <v/>
      </c>
      <c r="G28" s="29">
        <f>Assumptions!$D$9*'Historical Financials'!$G$17</f>
        <v/>
      </c>
    </row>
    <row r="29">
      <c r="B29" s="2" t="inlineStr">
        <is>
          <t>FCFE ÷ dividends (coverage)</t>
        </is>
      </c>
      <c r="C29" s="51">
        <f>C19/C28</f>
        <v/>
      </c>
      <c r="D29" s="51">
        <f>D19/D28</f>
        <v/>
      </c>
      <c r="E29" s="51">
        <f>E19/E28</f>
        <v/>
      </c>
      <c r="F29" s="51">
        <f>F19/F28</f>
        <v/>
      </c>
      <c r="G29" s="51">
        <f>G19/G28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I32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2" customWidth="1" min="8" max="8"/>
    <col width="40" customWidth="1" min="9" max="9"/>
  </cols>
  <sheetData>
    <row r="2">
      <c r="B2" s="1" t="inlineStr">
        <is>
          <t>Rithm Capital Corp. – Discounted Cash Flow (FCFE)</t>
        </is>
      </c>
    </row>
    <row r="3">
      <c r="B3" s="7" t="inlineStr">
        <is>
          <t>($ in millions, except per-share data)</t>
        </is>
      </c>
    </row>
    <row r="5">
      <c r="B5" s="8" t="inlineStr">
        <is>
          <t>Free Cash Flow to Equity</t>
        </is>
      </c>
      <c r="C5" s="9" t="n"/>
      <c r="D5" s="9" t="n"/>
      <c r="E5" s="9" t="n"/>
      <c r="F5" s="9" t="n"/>
      <c r="G5" s="9" t="n"/>
    </row>
    <row r="6">
      <c r="C6" s="25" t="inlineStr">
        <is>
          <t>FY'26E</t>
        </is>
      </c>
      <c r="D6" s="25" t="inlineStr">
        <is>
          <t>FY'27E</t>
        </is>
      </c>
      <c r="E6" s="25" t="inlineStr">
        <is>
          <t>FY'28E</t>
        </is>
      </c>
      <c r="F6" s="25" t="inlineStr">
        <is>
          <t>FY'29E</t>
        </is>
      </c>
      <c r="G6" s="25" t="inlineStr">
        <is>
          <t>FY'30E</t>
        </is>
      </c>
    </row>
    <row r="7">
      <c r="B7" s="5" t="inlineStr">
        <is>
          <t>FCFE (full year)</t>
        </is>
      </c>
      <c r="C7" s="29">
        <f>'Operating Model Output'!C19</f>
        <v/>
      </c>
      <c r="D7" s="29">
        <f>'Operating Model Output'!D19</f>
        <v/>
      </c>
      <c r="E7" s="29">
        <f>'Operating Model Output'!E19</f>
        <v/>
      </c>
      <c r="F7" s="29">
        <f>'Operating Model Output'!F19</f>
        <v/>
      </c>
      <c r="G7" s="29">
        <f>'Operating Model Output'!G19</f>
        <v/>
      </c>
    </row>
    <row r="8">
      <c r="B8" s="5" t="inlineStr">
        <is>
          <t>Share of year counted</t>
        </is>
      </c>
      <c r="C8" s="31">
        <f>Assumptions!$D$12</f>
        <v/>
      </c>
      <c r="D8" s="30" t="n">
        <v>1</v>
      </c>
      <c r="E8" s="30" t="n">
        <v>1</v>
      </c>
      <c r="F8" s="30" t="n">
        <v>1</v>
      </c>
      <c r="G8" s="30" t="n">
        <v>1</v>
      </c>
    </row>
    <row r="9">
      <c r="B9" s="5" t="inlineStr">
        <is>
          <t>FCFE counted</t>
        </is>
      </c>
      <c r="C9" s="27">
        <f>C7*C8</f>
        <v/>
      </c>
      <c r="D9" s="27">
        <f>D7*D8</f>
        <v/>
      </c>
      <c r="E9" s="27">
        <f>E7*E8</f>
        <v/>
      </c>
      <c r="F9" s="27">
        <f>F7*F8</f>
        <v/>
      </c>
      <c r="G9" s="27">
        <f>G7*G8</f>
        <v/>
      </c>
    </row>
    <row r="10">
      <c r="B10" s="5" t="inlineStr">
        <is>
          <t>Year-end discount period (years)</t>
        </is>
      </c>
      <c r="C10" s="43">
        <f>Assumptions!$D$12</f>
        <v/>
      </c>
      <c r="D10" s="52">
        <f>C10+1</f>
        <v/>
      </c>
      <c r="E10" s="52">
        <f>D10+1</f>
        <v/>
      </c>
      <c r="F10" s="52">
        <f>E10+1</f>
        <v/>
      </c>
      <c r="G10" s="52">
        <f>F10+1</f>
        <v/>
      </c>
    </row>
    <row r="11">
      <c r="B11" s="5" t="inlineStr">
        <is>
          <t>Discount period used</t>
        </is>
      </c>
      <c r="C11" s="52">
        <f>IF(Assumptions!$D$13=1,C10-C8/2,C10)</f>
        <v/>
      </c>
      <c r="D11" s="52">
        <f>IF(Assumptions!$D$13=1,D10-D8/2,D10)</f>
        <v/>
      </c>
      <c r="E11" s="52">
        <f>IF(Assumptions!$D$13=1,E10-E8/2,E10)</f>
        <v/>
      </c>
      <c r="F11" s="52">
        <f>IF(Assumptions!$D$13=1,F10-F8/2,F10)</f>
        <v/>
      </c>
      <c r="G11" s="52">
        <f>IF(Assumptions!$D$13=1,G10-G8/2,G10)</f>
        <v/>
      </c>
    </row>
    <row r="12">
      <c r="B12" s="5" t="inlineStr">
        <is>
          <t>Cost of equity (k)</t>
        </is>
      </c>
      <c r="C12" s="46">
        <f>'Cost of Equity'!$I$27</f>
        <v/>
      </c>
      <c r="D12" s="46">
        <f>'Cost of Equity'!$I$27</f>
        <v/>
      </c>
      <c r="E12" s="46">
        <f>'Cost of Equity'!$I$27</f>
        <v/>
      </c>
      <c r="F12" s="46">
        <f>'Cost of Equity'!$I$27</f>
        <v/>
      </c>
      <c r="G12" s="46">
        <f>'Cost of Equity'!$I$27</f>
        <v/>
      </c>
    </row>
    <row r="13">
      <c r="B13" s="5" t="inlineStr">
        <is>
          <t>Discount factor</t>
        </is>
      </c>
      <c r="C13" s="53">
        <f>1/(1+C12)^C11</f>
        <v/>
      </c>
      <c r="D13" s="53">
        <f>1/(1+D12)^D11</f>
        <v/>
      </c>
      <c r="E13" s="53">
        <f>1/(1+E12)^E11</f>
        <v/>
      </c>
      <c r="F13" s="53">
        <f>1/(1+F12)^F11</f>
        <v/>
      </c>
      <c r="G13" s="53">
        <f>1/(1+G12)^G11</f>
        <v/>
      </c>
    </row>
    <row r="14">
      <c r="B14" s="5" t="inlineStr">
        <is>
          <t>Present value of FCFE</t>
        </is>
      </c>
      <c r="C14" s="27">
        <f>C9*C13</f>
        <v/>
      </c>
      <c r="D14" s="27">
        <f>D9*D13</f>
        <v/>
      </c>
      <c r="E14" s="27">
        <f>E9*E13</f>
        <v/>
      </c>
      <c r="F14" s="27">
        <f>F9*F13</f>
        <v/>
      </c>
      <c r="G14" s="27">
        <f>G9*G13</f>
        <v/>
      </c>
    </row>
    <row r="16">
      <c r="B16" s="8" t="inlineStr">
        <is>
          <t>Terminal Value and Equity Value</t>
        </is>
      </c>
      <c r="C16" s="9" t="n"/>
      <c r="D16" s="9" t="n"/>
      <c r="E16" s="9" t="n"/>
      <c r="F16" s="9" t="n"/>
      <c r="G16" s="9" t="n"/>
    </row>
    <row r="17">
      <c r="B17" s="5" t="inlineStr">
        <is>
          <t>Terminal-year FCFE (FY'30E)</t>
        </is>
      </c>
      <c r="G17" s="27">
        <f>G7</f>
        <v/>
      </c>
    </row>
    <row r="18">
      <c r="B18" s="5" t="inlineStr">
        <is>
          <t>Long-run growth rate (g)</t>
        </is>
      </c>
      <c r="G18" s="46">
        <f>Assumptions!D50</f>
        <v/>
      </c>
    </row>
    <row r="19">
      <c r="B19" s="5" t="inlineStr">
        <is>
          <t>Cost of equity (k)</t>
        </is>
      </c>
      <c r="G19" s="46">
        <f>'Cost of Equity'!I27</f>
        <v/>
      </c>
    </row>
    <row r="20">
      <c r="B20" s="5" t="inlineStr">
        <is>
          <t>Terminal value at end of FY30</t>
        </is>
      </c>
      <c r="G20" s="27">
        <f>G17*(1+G18)/(G19-G18)</f>
        <v/>
      </c>
      <c r="I20" s="7" t="inlineStr">
        <is>
          <t>Terminal value discounted from the end of FY30 (not mid-year).</t>
        </is>
      </c>
    </row>
    <row r="21">
      <c r="B21" s="5" t="inlineStr">
        <is>
          <t>Discount period (end of FY30)</t>
        </is>
      </c>
      <c r="G21" s="52">
        <f>G10</f>
        <v/>
      </c>
    </row>
    <row r="22">
      <c r="B22" s="5" t="inlineStr">
        <is>
          <t>Present value of terminal value</t>
        </is>
      </c>
      <c r="G22" s="27">
        <f>G20/(1+G19)^G21</f>
        <v/>
      </c>
    </row>
    <row r="23">
      <c r="B23" s="5" t="inlineStr">
        <is>
          <t>Present value of FY'26–30 FCFE</t>
        </is>
      </c>
      <c r="G23" s="27">
        <f>SUM(C14:G14)</f>
        <v/>
      </c>
    </row>
    <row r="24">
      <c r="B24" s="2" t="inlineStr">
        <is>
          <t>Equity value (common)</t>
        </is>
      </c>
      <c r="G24" s="54">
        <f>G22+G23</f>
        <v/>
      </c>
    </row>
    <row r="25">
      <c r="B25" s="5" t="inlineStr">
        <is>
          <t>( ÷ ) Diluted shares (mm)</t>
        </is>
      </c>
      <c r="G25" s="43">
        <f>Assumptions!D9</f>
        <v/>
      </c>
    </row>
    <row r="26">
      <c r="B26" s="2" t="inlineStr">
        <is>
          <t>Implied share price</t>
        </is>
      </c>
      <c r="G26" s="55">
        <f>G24/G25</f>
        <v/>
      </c>
      <c r="I26" s="7" t="inlineStr">
        <is>
          <t>Scenario shown: Assumptions!D18. Change Assumptions!D17 to see Conservative / Bullish.</t>
        </is>
      </c>
    </row>
    <row r="27">
      <c r="B27" s="5" t="inlineStr">
        <is>
          <t>Current share price</t>
        </is>
      </c>
      <c r="G27" s="56">
        <f>Assumptions!D8</f>
        <v/>
      </c>
    </row>
    <row r="28">
      <c r="B28" s="2" t="inlineStr">
        <is>
          <t>Upside / (downside)</t>
        </is>
      </c>
      <c r="G28" s="33">
        <f>G26/G27-1</f>
        <v/>
      </c>
    </row>
    <row r="30">
      <c r="B30" s="5" t="inlineStr">
        <is>
          <t>Implied price ÷ book value per share</t>
        </is>
      </c>
      <c r="G30" s="42">
        <f>G26/Assumptions!D10</f>
        <v/>
      </c>
    </row>
    <row r="31">
      <c r="B31" s="5" t="inlineStr">
        <is>
          <t>Terminal value as % of equity value</t>
        </is>
      </c>
      <c r="G31" s="30">
        <f>G22/G24</f>
        <v/>
      </c>
    </row>
    <row r="32">
      <c r="B32" s="5" t="inlineStr">
        <is>
          <t>Implied forward P/E on core EPS</t>
        </is>
      </c>
      <c r="G32" s="42">
        <f>G26/'Operating Model Output'!C14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33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2" customWidth="1" min="11" max="11"/>
  </cols>
  <sheetData>
    <row r="2">
      <c r="B2" s="1" t="inlineStr">
        <is>
          <t>Rithm Capital Corp. – DCF Sensitivity</t>
        </is>
      </c>
    </row>
    <row r="3">
      <c r="B3" s="7" t="inlineStr">
        <is>
          <t>($ in millions, except per-share data)</t>
        </is>
      </c>
    </row>
    <row r="5">
      <c r="B5" s="8" t="inlineStr">
        <is>
          <t>Implied Share Price – Cost of Equity (rows) vs. Terminal Growth (columns)</t>
        </is>
      </c>
      <c r="C5" s="9" t="n"/>
      <c r="D5" s="9" t="n"/>
      <c r="E5" s="9" t="n"/>
      <c r="F5" s="9" t="n"/>
      <c r="G5" s="9" t="n"/>
      <c r="H5" s="9" t="n"/>
      <c r="I5" s="9" t="n"/>
      <c r="J5" s="9" t="n"/>
    </row>
    <row r="7">
      <c r="C7" s="57" t="inlineStr">
        <is>
          <t>k \ g</t>
        </is>
      </c>
      <c r="D7" s="58">
        <f>'OUT-DCF'!$G$18-3*Assumptions!$D$60</f>
        <v/>
      </c>
      <c r="E7" s="58">
        <f>'OUT-DCF'!$G$18-2*Assumptions!$D$60</f>
        <v/>
      </c>
      <c r="F7" s="58">
        <f>'OUT-DCF'!$G$18-1*Assumptions!$D$60</f>
        <v/>
      </c>
      <c r="G7" s="58">
        <f>'OUT-DCF'!$G$18+0*Assumptions!$D$60</f>
        <v/>
      </c>
      <c r="H7" s="58">
        <f>'OUT-DCF'!$G$18+1*Assumptions!$D$60</f>
        <v/>
      </c>
      <c r="I7" s="58">
        <f>'OUT-DCF'!$G$18+2*Assumptions!$D$60</f>
        <v/>
      </c>
      <c r="J7" s="58">
        <f>'OUT-DCF'!$G$18+3*Assumptions!$D$60</f>
        <v/>
      </c>
    </row>
    <row r="8">
      <c r="C8" s="59">
        <f>'OUT-DCF'!$G$19-3*Assumptions!$D$59</f>
        <v/>
      </c>
      <c r="D8" s="38">
        <f>IF($C8&lt;=D$7,"n.m.",(SUMPRODUCT('OUT-DCF'!$C$9:$G$9,1/(1+$C8)^'OUT-DCF'!$C$11:$G$11)+'OUT-DCF'!$G$17*(1+D$7)/($C8-D$7)/(1+$C8)^'OUT-DCF'!$G$21)/Assumptions!$D$9)</f>
        <v/>
      </c>
      <c r="E8" s="38">
        <f>IF($C8&lt;=E$7,"n.m.",(SUMPRODUCT('OUT-DCF'!$C$9:$G$9,1/(1+$C8)^'OUT-DCF'!$C$11:$G$11)+'OUT-DCF'!$G$17*(1+E$7)/($C8-E$7)/(1+$C8)^'OUT-DCF'!$G$21)/Assumptions!$D$9)</f>
        <v/>
      </c>
      <c r="F8" s="38">
        <f>IF($C8&lt;=F$7,"n.m.",(SUMPRODUCT('OUT-DCF'!$C$9:$G$9,1/(1+$C8)^'OUT-DCF'!$C$11:$G$11)+'OUT-DCF'!$G$17*(1+F$7)/($C8-F$7)/(1+$C8)^'OUT-DCF'!$G$21)/Assumptions!$D$9)</f>
        <v/>
      </c>
      <c r="G8" s="38">
        <f>IF($C8&lt;=G$7,"n.m.",(SUMPRODUCT('OUT-DCF'!$C$9:$G$9,1/(1+$C8)^'OUT-DCF'!$C$11:$G$11)+'OUT-DCF'!$G$17*(1+G$7)/($C8-G$7)/(1+$C8)^'OUT-DCF'!$G$21)/Assumptions!$D$9)</f>
        <v/>
      </c>
      <c r="H8" s="38">
        <f>IF($C8&lt;=H$7,"n.m.",(SUMPRODUCT('OUT-DCF'!$C$9:$G$9,1/(1+$C8)^'OUT-DCF'!$C$11:$G$11)+'OUT-DCF'!$G$17*(1+H$7)/($C8-H$7)/(1+$C8)^'OUT-DCF'!$G$21)/Assumptions!$D$9)</f>
        <v/>
      </c>
      <c r="I8" s="38">
        <f>IF($C8&lt;=I$7,"n.m.",(SUMPRODUCT('OUT-DCF'!$C$9:$G$9,1/(1+$C8)^'OUT-DCF'!$C$11:$G$11)+'OUT-DCF'!$G$17*(1+I$7)/($C8-I$7)/(1+$C8)^'OUT-DCF'!$G$21)/Assumptions!$D$9)</f>
        <v/>
      </c>
      <c r="J8" s="38">
        <f>IF($C8&lt;=J$7,"n.m.",(SUMPRODUCT('OUT-DCF'!$C$9:$G$9,1/(1+$C8)^'OUT-DCF'!$C$11:$G$11)+'OUT-DCF'!$G$17*(1+J$7)/($C8-J$7)/(1+$C8)^'OUT-DCF'!$G$21)/Assumptions!$D$9)</f>
        <v/>
      </c>
    </row>
    <row r="9">
      <c r="C9" s="59">
        <f>'OUT-DCF'!$G$19-2*Assumptions!$D$59</f>
        <v/>
      </c>
      <c r="D9" s="38">
        <f>IF($C9&lt;=D$7,"n.m.",(SUMPRODUCT('OUT-DCF'!$C$9:$G$9,1/(1+$C9)^'OUT-DCF'!$C$11:$G$11)+'OUT-DCF'!$G$17*(1+D$7)/($C9-D$7)/(1+$C9)^'OUT-DCF'!$G$21)/Assumptions!$D$9)</f>
        <v/>
      </c>
      <c r="E9" s="38">
        <f>IF($C9&lt;=E$7,"n.m.",(SUMPRODUCT('OUT-DCF'!$C$9:$G$9,1/(1+$C9)^'OUT-DCF'!$C$11:$G$11)+'OUT-DCF'!$G$17*(1+E$7)/($C9-E$7)/(1+$C9)^'OUT-DCF'!$G$21)/Assumptions!$D$9)</f>
        <v/>
      </c>
      <c r="F9" s="38">
        <f>IF($C9&lt;=F$7,"n.m.",(SUMPRODUCT('OUT-DCF'!$C$9:$G$9,1/(1+$C9)^'OUT-DCF'!$C$11:$G$11)+'OUT-DCF'!$G$17*(1+F$7)/($C9-F$7)/(1+$C9)^'OUT-DCF'!$G$21)/Assumptions!$D$9)</f>
        <v/>
      </c>
      <c r="G9" s="38">
        <f>IF($C9&lt;=G$7,"n.m.",(SUMPRODUCT('OUT-DCF'!$C$9:$G$9,1/(1+$C9)^'OUT-DCF'!$C$11:$G$11)+'OUT-DCF'!$G$17*(1+G$7)/($C9-G$7)/(1+$C9)^'OUT-DCF'!$G$21)/Assumptions!$D$9)</f>
        <v/>
      </c>
      <c r="H9" s="38">
        <f>IF($C9&lt;=H$7,"n.m.",(SUMPRODUCT('OUT-DCF'!$C$9:$G$9,1/(1+$C9)^'OUT-DCF'!$C$11:$G$11)+'OUT-DCF'!$G$17*(1+H$7)/($C9-H$7)/(1+$C9)^'OUT-DCF'!$G$21)/Assumptions!$D$9)</f>
        <v/>
      </c>
      <c r="I9" s="38">
        <f>IF($C9&lt;=I$7,"n.m.",(SUMPRODUCT('OUT-DCF'!$C$9:$G$9,1/(1+$C9)^'OUT-DCF'!$C$11:$G$11)+'OUT-DCF'!$G$17*(1+I$7)/($C9-I$7)/(1+$C9)^'OUT-DCF'!$G$21)/Assumptions!$D$9)</f>
        <v/>
      </c>
      <c r="J9" s="38">
        <f>IF($C9&lt;=J$7,"n.m.",(SUMPRODUCT('OUT-DCF'!$C$9:$G$9,1/(1+$C9)^'OUT-DCF'!$C$11:$G$11)+'OUT-DCF'!$G$17*(1+J$7)/($C9-J$7)/(1+$C9)^'OUT-DCF'!$G$21)/Assumptions!$D$9)</f>
        <v/>
      </c>
    </row>
    <row r="10">
      <c r="C10" s="59">
        <f>'OUT-DCF'!$G$19-1*Assumptions!$D$59</f>
        <v/>
      </c>
      <c r="D10" s="38">
        <f>IF($C10&lt;=D$7,"n.m.",(SUMPRODUCT('OUT-DCF'!$C$9:$G$9,1/(1+$C10)^'OUT-DCF'!$C$11:$G$11)+'OUT-DCF'!$G$17*(1+D$7)/($C10-D$7)/(1+$C10)^'OUT-DCF'!$G$21)/Assumptions!$D$9)</f>
        <v/>
      </c>
      <c r="E10" s="38">
        <f>IF($C10&lt;=E$7,"n.m.",(SUMPRODUCT('OUT-DCF'!$C$9:$G$9,1/(1+$C10)^'OUT-DCF'!$C$11:$G$11)+'OUT-DCF'!$G$17*(1+E$7)/($C10-E$7)/(1+$C10)^'OUT-DCF'!$G$21)/Assumptions!$D$9)</f>
        <v/>
      </c>
      <c r="F10" s="38">
        <f>IF($C10&lt;=F$7,"n.m.",(SUMPRODUCT('OUT-DCF'!$C$9:$G$9,1/(1+$C10)^'OUT-DCF'!$C$11:$G$11)+'OUT-DCF'!$G$17*(1+F$7)/($C10-F$7)/(1+$C10)^'OUT-DCF'!$G$21)/Assumptions!$D$9)</f>
        <v/>
      </c>
      <c r="G10" s="38">
        <f>IF($C10&lt;=G$7,"n.m.",(SUMPRODUCT('OUT-DCF'!$C$9:$G$9,1/(1+$C10)^'OUT-DCF'!$C$11:$G$11)+'OUT-DCF'!$G$17*(1+G$7)/($C10-G$7)/(1+$C10)^'OUT-DCF'!$G$21)/Assumptions!$D$9)</f>
        <v/>
      </c>
      <c r="H10" s="38">
        <f>IF($C10&lt;=H$7,"n.m.",(SUMPRODUCT('OUT-DCF'!$C$9:$G$9,1/(1+$C10)^'OUT-DCF'!$C$11:$G$11)+'OUT-DCF'!$G$17*(1+H$7)/($C10-H$7)/(1+$C10)^'OUT-DCF'!$G$21)/Assumptions!$D$9)</f>
        <v/>
      </c>
      <c r="I10" s="38">
        <f>IF($C10&lt;=I$7,"n.m.",(SUMPRODUCT('OUT-DCF'!$C$9:$G$9,1/(1+$C10)^'OUT-DCF'!$C$11:$G$11)+'OUT-DCF'!$G$17*(1+I$7)/($C10-I$7)/(1+$C10)^'OUT-DCF'!$G$21)/Assumptions!$D$9)</f>
        <v/>
      </c>
      <c r="J10" s="38">
        <f>IF($C10&lt;=J$7,"n.m.",(SUMPRODUCT('OUT-DCF'!$C$9:$G$9,1/(1+$C10)^'OUT-DCF'!$C$11:$G$11)+'OUT-DCF'!$G$17*(1+J$7)/($C10-J$7)/(1+$C10)^'OUT-DCF'!$G$21)/Assumptions!$D$9)</f>
        <v/>
      </c>
    </row>
    <row r="11">
      <c r="C11" s="59">
        <f>'OUT-DCF'!$G$19+0*Assumptions!$D$59</f>
        <v/>
      </c>
      <c r="D11" s="38">
        <f>IF($C11&lt;=D$7,"n.m.",(SUMPRODUCT('OUT-DCF'!$C$9:$G$9,1/(1+$C11)^'OUT-DCF'!$C$11:$G$11)+'OUT-DCF'!$G$17*(1+D$7)/($C11-D$7)/(1+$C11)^'OUT-DCF'!$G$21)/Assumptions!$D$9)</f>
        <v/>
      </c>
      <c r="E11" s="38">
        <f>IF($C11&lt;=E$7,"n.m.",(SUMPRODUCT('OUT-DCF'!$C$9:$G$9,1/(1+$C11)^'OUT-DCF'!$C$11:$G$11)+'OUT-DCF'!$G$17*(1+E$7)/($C11-E$7)/(1+$C11)^'OUT-DCF'!$G$21)/Assumptions!$D$9)</f>
        <v/>
      </c>
      <c r="F11" s="38">
        <f>IF($C11&lt;=F$7,"n.m.",(SUMPRODUCT('OUT-DCF'!$C$9:$G$9,1/(1+$C11)^'OUT-DCF'!$C$11:$G$11)+'OUT-DCF'!$G$17*(1+F$7)/($C11-F$7)/(1+$C11)^'OUT-DCF'!$G$21)/Assumptions!$D$9)</f>
        <v/>
      </c>
      <c r="G11" s="55">
        <f>IF($C11&lt;=G$7,"n.m.",(SUMPRODUCT('OUT-DCF'!$C$9:$G$9,1/(1+$C11)^'OUT-DCF'!$C$11:$G$11)+'OUT-DCF'!$G$17*(1+G$7)/($C11-G$7)/(1+$C11)^'OUT-DCF'!$G$21)/Assumptions!$D$9)</f>
        <v/>
      </c>
      <c r="H11" s="38">
        <f>IF($C11&lt;=H$7,"n.m.",(SUMPRODUCT('OUT-DCF'!$C$9:$G$9,1/(1+$C11)^'OUT-DCF'!$C$11:$G$11)+'OUT-DCF'!$G$17*(1+H$7)/($C11-H$7)/(1+$C11)^'OUT-DCF'!$G$21)/Assumptions!$D$9)</f>
        <v/>
      </c>
      <c r="I11" s="38">
        <f>IF($C11&lt;=I$7,"n.m.",(SUMPRODUCT('OUT-DCF'!$C$9:$G$9,1/(1+$C11)^'OUT-DCF'!$C$11:$G$11)+'OUT-DCF'!$G$17*(1+I$7)/($C11-I$7)/(1+$C11)^'OUT-DCF'!$G$21)/Assumptions!$D$9)</f>
        <v/>
      </c>
      <c r="J11" s="38">
        <f>IF($C11&lt;=J$7,"n.m.",(SUMPRODUCT('OUT-DCF'!$C$9:$G$9,1/(1+$C11)^'OUT-DCF'!$C$11:$G$11)+'OUT-DCF'!$G$17*(1+J$7)/($C11-J$7)/(1+$C11)^'OUT-DCF'!$G$21)/Assumptions!$D$9)</f>
        <v/>
      </c>
    </row>
    <row r="12">
      <c r="C12" s="59">
        <f>'OUT-DCF'!$G$19+1*Assumptions!$D$59</f>
        <v/>
      </c>
      <c r="D12" s="38">
        <f>IF($C12&lt;=D$7,"n.m.",(SUMPRODUCT('OUT-DCF'!$C$9:$G$9,1/(1+$C12)^'OUT-DCF'!$C$11:$G$11)+'OUT-DCF'!$G$17*(1+D$7)/($C12-D$7)/(1+$C12)^'OUT-DCF'!$G$21)/Assumptions!$D$9)</f>
        <v/>
      </c>
      <c r="E12" s="38">
        <f>IF($C12&lt;=E$7,"n.m.",(SUMPRODUCT('OUT-DCF'!$C$9:$G$9,1/(1+$C12)^'OUT-DCF'!$C$11:$G$11)+'OUT-DCF'!$G$17*(1+E$7)/($C12-E$7)/(1+$C12)^'OUT-DCF'!$G$21)/Assumptions!$D$9)</f>
        <v/>
      </c>
      <c r="F12" s="38">
        <f>IF($C12&lt;=F$7,"n.m.",(SUMPRODUCT('OUT-DCF'!$C$9:$G$9,1/(1+$C12)^'OUT-DCF'!$C$11:$G$11)+'OUT-DCF'!$G$17*(1+F$7)/($C12-F$7)/(1+$C12)^'OUT-DCF'!$G$21)/Assumptions!$D$9)</f>
        <v/>
      </c>
      <c r="G12" s="38">
        <f>IF($C12&lt;=G$7,"n.m.",(SUMPRODUCT('OUT-DCF'!$C$9:$G$9,1/(1+$C12)^'OUT-DCF'!$C$11:$G$11)+'OUT-DCF'!$G$17*(1+G$7)/($C12-G$7)/(1+$C12)^'OUT-DCF'!$G$21)/Assumptions!$D$9)</f>
        <v/>
      </c>
      <c r="H12" s="38">
        <f>IF($C12&lt;=H$7,"n.m.",(SUMPRODUCT('OUT-DCF'!$C$9:$G$9,1/(1+$C12)^'OUT-DCF'!$C$11:$G$11)+'OUT-DCF'!$G$17*(1+H$7)/($C12-H$7)/(1+$C12)^'OUT-DCF'!$G$21)/Assumptions!$D$9)</f>
        <v/>
      </c>
      <c r="I12" s="38">
        <f>IF($C12&lt;=I$7,"n.m.",(SUMPRODUCT('OUT-DCF'!$C$9:$G$9,1/(1+$C12)^'OUT-DCF'!$C$11:$G$11)+'OUT-DCF'!$G$17*(1+I$7)/($C12-I$7)/(1+$C12)^'OUT-DCF'!$G$21)/Assumptions!$D$9)</f>
        <v/>
      </c>
      <c r="J12" s="38">
        <f>IF($C12&lt;=J$7,"n.m.",(SUMPRODUCT('OUT-DCF'!$C$9:$G$9,1/(1+$C12)^'OUT-DCF'!$C$11:$G$11)+'OUT-DCF'!$G$17*(1+J$7)/($C12-J$7)/(1+$C12)^'OUT-DCF'!$G$21)/Assumptions!$D$9)</f>
        <v/>
      </c>
    </row>
    <row r="13">
      <c r="C13" s="59">
        <f>'OUT-DCF'!$G$19+2*Assumptions!$D$59</f>
        <v/>
      </c>
      <c r="D13" s="38">
        <f>IF($C13&lt;=D$7,"n.m.",(SUMPRODUCT('OUT-DCF'!$C$9:$G$9,1/(1+$C13)^'OUT-DCF'!$C$11:$G$11)+'OUT-DCF'!$G$17*(1+D$7)/($C13-D$7)/(1+$C13)^'OUT-DCF'!$G$21)/Assumptions!$D$9)</f>
        <v/>
      </c>
      <c r="E13" s="38">
        <f>IF($C13&lt;=E$7,"n.m.",(SUMPRODUCT('OUT-DCF'!$C$9:$G$9,1/(1+$C13)^'OUT-DCF'!$C$11:$G$11)+'OUT-DCF'!$G$17*(1+E$7)/($C13-E$7)/(1+$C13)^'OUT-DCF'!$G$21)/Assumptions!$D$9)</f>
        <v/>
      </c>
      <c r="F13" s="38">
        <f>IF($C13&lt;=F$7,"n.m.",(SUMPRODUCT('OUT-DCF'!$C$9:$G$9,1/(1+$C13)^'OUT-DCF'!$C$11:$G$11)+'OUT-DCF'!$G$17*(1+F$7)/($C13-F$7)/(1+$C13)^'OUT-DCF'!$G$21)/Assumptions!$D$9)</f>
        <v/>
      </c>
      <c r="G13" s="38">
        <f>IF($C13&lt;=G$7,"n.m.",(SUMPRODUCT('OUT-DCF'!$C$9:$G$9,1/(1+$C13)^'OUT-DCF'!$C$11:$G$11)+'OUT-DCF'!$G$17*(1+G$7)/($C13-G$7)/(1+$C13)^'OUT-DCF'!$G$21)/Assumptions!$D$9)</f>
        <v/>
      </c>
      <c r="H13" s="38">
        <f>IF($C13&lt;=H$7,"n.m.",(SUMPRODUCT('OUT-DCF'!$C$9:$G$9,1/(1+$C13)^'OUT-DCF'!$C$11:$G$11)+'OUT-DCF'!$G$17*(1+H$7)/($C13-H$7)/(1+$C13)^'OUT-DCF'!$G$21)/Assumptions!$D$9)</f>
        <v/>
      </c>
      <c r="I13" s="38">
        <f>IF($C13&lt;=I$7,"n.m.",(SUMPRODUCT('OUT-DCF'!$C$9:$G$9,1/(1+$C13)^'OUT-DCF'!$C$11:$G$11)+'OUT-DCF'!$G$17*(1+I$7)/($C13-I$7)/(1+$C13)^'OUT-DCF'!$G$21)/Assumptions!$D$9)</f>
        <v/>
      </c>
      <c r="J13" s="38">
        <f>IF($C13&lt;=J$7,"n.m.",(SUMPRODUCT('OUT-DCF'!$C$9:$G$9,1/(1+$C13)^'OUT-DCF'!$C$11:$G$11)+'OUT-DCF'!$G$17*(1+J$7)/($C13-J$7)/(1+$C13)^'OUT-DCF'!$G$21)/Assumptions!$D$9)</f>
        <v/>
      </c>
    </row>
    <row r="14">
      <c r="C14" s="59">
        <f>'OUT-DCF'!$G$19+3*Assumptions!$D$59</f>
        <v/>
      </c>
      <c r="D14" s="38">
        <f>IF($C14&lt;=D$7,"n.m.",(SUMPRODUCT('OUT-DCF'!$C$9:$G$9,1/(1+$C14)^'OUT-DCF'!$C$11:$G$11)+'OUT-DCF'!$G$17*(1+D$7)/($C14-D$7)/(1+$C14)^'OUT-DCF'!$G$21)/Assumptions!$D$9)</f>
        <v/>
      </c>
      <c r="E14" s="38">
        <f>IF($C14&lt;=E$7,"n.m.",(SUMPRODUCT('OUT-DCF'!$C$9:$G$9,1/(1+$C14)^'OUT-DCF'!$C$11:$G$11)+'OUT-DCF'!$G$17*(1+E$7)/($C14-E$7)/(1+$C14)^'OUT-DCF'!$G$21)/Assumptions!$D$9)</f>
        <v/>
      </c>
      <c r="F14" s="38">
        <f>IF($C14&lt;=F$7,"n.m.",(SUMPRODUCT('OUT-DCF'!$C$9:$G$9,1/(1+$C14)^'OUT-DCF'!$C$11:$G$11)+'OUT-DCF'!$G$17*(1+F$7)/($C14-F$7)/(1+$C14)^'OUT-DCF'!$G$21)/Assumptions!$D$9)</f>
        <v/>
      </c>
      <c r="G14" s="38">
        <f>IF($C14&lt;=G$7,"n.m.",(SUMPRODUCT('OUT-DCF'!$C$9:$G$9,1/(1+$C14)^'OUT-DCF'!$C$11:$G$11)+'OUT-DCF'!$G$17*(1+G$7)/($C14-G$7)/(1+$C14)^'OUT-DCF'!$G$21)/Assumptions!$D$9)</f>
        <v/>
      </c>
      <c r="H14" s="38">
        <f>IF($C14&lt;=H$7,"n.m.",(SUMPRODUCT('OUT-DCF'!$C$9:$G$9,1/(1+$C14)^'OUT-DCF'!$C$11:$G$11)+'OUT-DCF'!$G$17*(1+H$7)/($C14-H$7)/(1+$C14)^'OUT-DCF'!$G$21)/Assumptions!$D$9)</f>
        <v/>
      </c>
      <c r="I14" s="38">
        <f>IF($C14&lt;=I$7,"n.m.",(SUMPRODUCT('OUT-DCF'!$C$9:$G$9,1/(1+$C14)^'OUT-DCF'!$C$11:$G$11)+'OUT-DCF'!$G$17*(1+I$7)/($C14-I$7)/(1+$C14)^'OUT-DCF'!$G$21)/Assumptions!$D$9)</f>
        <v/>
      </c>
      <c r="J14" s="38">
        <f>IF($C14&lt;=J$7,"n.m.",(SUMPRODUCT('OUT-DCF'!$C$9:$G$9,1/(1+$C14)^'OUT-DCF'!$C$11:$G$11)+'OUT-DCF'!$G$17*(1+J$7)/($C14-J$7)/(1+$C14)^'OUT-DCF'!$G$21)/Assumptions!$D$9)</f>
        <v/>
      </c>
    </row>
    <row r="16">
      <c r="B16" s="8" t="inlineStr">
        <is>
          <t>Upside / (Downside) vs. Current Share Price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</row>
    <row r="18">
      <c r="C18" s="8" t="inlineStr">
        <is>
          <t>k \ g</t>
        </is>
      </c>
      <c r="D18" s="58">
        <f>D7</f>
        <v/>
      </c>
      <c r="E18" s="58">
        <f>E7</f>
        <v/>
      </c>
      <c r="F18" s="58">
        <f>F7</f>
        <v/>
      </c>
      <c r="G18" s="58">
        <f>G7</f>
        <v/>
      </c>
      <c r="H18" s="58">
        <f>H7</f>
        <v/>
      </c>
      <c r="I18" s="58">
        <f>I7</f>
        <v/>
      </c>
      <c r="J18" s="58">
        <f>J7</f>
        <v/>
      </c>
    </row>
    <row r="19">
      <c r="C19" s="59">
        <f>C8</f>
        <v/>
      </c>
      <c r="D19" s="60">
        <f>IF(ISNUMBER(D8),D8/Assumptions!$D$8-1,"n.m.")</f>
        <v/>
      </c>
      <c r="E19" s="60">
        <f>IF(ISNUMBER(E8),E8/Assumptions!$D$8-1,"n.m.")</f>
        <v/>
      </c>
      <c r="F19" s="60">
        <f>IF(ISNUMBER(F8),F8/Assumptions!$D$8-1,"n.m.")</f>
        <v/>
      </c>
      <c r="G19" s="60">
        <f>IF(ISNUMBER(G8),G8/Assumptions!$D$8-1,"n.m.")</f>
        <v/>
      </c>
      <c r="H19" s="60">
        <f>IF(ISNUMBER(H8),H8/Assumptions!$D$8-1,"n.m.")</f>
        <v/>
      </c>
      <c r="I19" s="60">
        <f>IF(ISNUMBER(I8),I8/Assumptions!$D$8-1,"n.m.")</f>
        <v/>
      </c>
      <c r="J19" s="60">
        <f>IF(ISNUMBER(J8),J8/Assumptions!$D$8-1,"n.m.")</f>
        <v/>
      </c>
    </row>
    <row r="20">
      <c r="C20" s="59">
        <f>C9</f>
        <v/>
      </c>
      <c r="D20" s="60">
        <f>IF(ISNUMBER(D9),D9/Assumptions!$D$8-1,"n.m.")</f>
        <v/>
      </c>
      <c r="E20" s="60">
        <f>IF(ISNUMBER(E9),E9/Assumptions!$D$8-1,"n.m.")</f>
        <v/>
      </c>
      <c r="F20" s="60">
        <f>IF(ISNUMBER(F9),F9/Assumptions!$D$8-1,"n.m.")</f>
        <v/>
      </c>
      <c r="G20" s="60">
        <f>IF(ISNUMBER(G9),G9/Assumptions!$D$8-1,"n.m.")</f>
        <v/>
      </c>
      <c r="H20" s="60">
        <f>IF(ISNUMBER(H9),H9/Assumptions!$D$8-1,"n.m.")</f>
        <v/>
      </c>
      <c r="I20" s="60">
        <f>IF(ISNUMBER(I9),I9/Assumptions!$D$8-1,"n.m.")</f>
        <v/>
      </c>
      <c r="J20" s="60">
        <f>IF(ISNUMBER(J9),J9/Assumptions!$D$8-1,"n.m.")</f>
        <v/>
      </c>
    </row>
    <row r="21">
      <c r="C21" s="59">
        <f>C10</f>
        <v/>
      </c>
      <c r="D21" s="60">
        <f>IF(ISNUMBER(D10),D10/Assumptions!$D$8-1,"n.m.")</f>
        <v/>
      </c>
      <c r="E21" s="60">
        <f>IF(ISNUMBER(E10),E10/Assumptions!$D$8-1,"n.m.")</f>
        <v/>
      </c>
      <c r="F21" s="60">
        <f>IF(ISNUMBER(F10),F10/Assumptions!$D$8-1,"n.m.")</f>
        <v/>
      </c>
      <c r="G21" s="60">
        <f>IF(ISNUMBER(G10),G10/Assumptions!$D$8-1,"n.m.")</f>
        <v/>
      </c>
      <c r="H21" s="60">
        <f>IF(ISNUMBER(H10),H10/Assumptions!$D$8-1,"n.m.")</f>
        <v/>
      </c>
      <c r="I21" s="60">
        <f>IF(ISNUMBER(I10),I10/Assumptions!$D$8-1,"n.m.")</f>
        <v/>
      </c>
      <c r="J21" s="60">
        <f>IF(ISNUMBER(J10),J10/Assumptions!$D$8-1,"n.m.")</f>
        <v/>
      </c>
    </row>
    <row r="22">
      <c r="C22" s="59">
        <f>C11</f>
        <v/>
      </c>
      <c r="D22" s="60">
        <f>IF(ISNUMBER(D11),D11/Assumptions!$D$8-1,"n.m.")</f>
        <v/>
      </c>
      <c r="E22" s="60">
        <f>IF(ISNUMBER(E11),E11/Assumptions!$D$8-1,"n.m.")</f>
        <v/>
      </c>
      <c r="F22" s="60">
        <f>IF(ISNUMBER(F11),F11/Assumptions!$D$8-1,"n.m.")</f>
        <v/>
      </c>
      <c r="G22" s="61">
        <f>IF(ISNUMBER(G11),G11/Assumptions!$D$8-1,"n.m.")</f>
        <v/>
      </c>
      <c r="H22" s="60">
        <f>IF(ISNUMBER(H11),H11/Assumptions!$D$8-1,"n.m.")</f>
        <v/>
      </c>
      <c r="I22" s="60">
        <f>IF(ISNUMBER(I11),I11/Assumptions!$D$8-1,"n.m.")</f>
        <v/>
      </c>
      <c r="J22" s="60">
        <f>IF(ISNUMBER(J11),J11/Assumptions!$D$8-1,"n.m.")</f>
        <v/>
      </c>
    </row>
    <row r="23">
      <c r="C23" s="59">
        <f>C12</f>
        <v/>
      </c>
      <c r="D23" s="60">
        <f>IF(ISNUMBER(D12),D12/Assumptions!$D$8-1,"n.m.")</f>
        <v/>
      </c>
      <c r="E23" s="60">
        <f>IF(ISNUMBER(E12),E12/Assumptions!$D$8-1,"n.m.")</f>
        <v/>
      </c>
      <c r="F23" s="60">
        <f>IF(ISNUMBER(F12),F12/Assumptions!$D$8-1,"n.m.")</f>
        <v/>
      </c>
      <c r="G23" s="60">
        <f>IF(ISNUMBER(G12),G12/Assumptions!$D$8-1,"n.m.")</f>
        <v/>
      </c>
      <c r="H23" s="60">
        <f>IF(ISNUMBER(H12),H12/Assumptions!$D$8-1,"n.m.")</f>
        <v/>
      </c>
      <c r="I23" s="60">
        <f>IF(ISNUMBER(I12),I12/Assumptions!$D$8-1,"n.m.")</f>
        <v/>
      </c>
      <c r="J23" s="60">
        <f>IF(ISNUMBER(J12),J12/Assumptions!$D$8-1,"n.m.")</f>
        <v/>
      </c>
    </row>
    <row r="24">
      <c r="C24" s="59">
        <f>C13</f>
        <v/>
      </c>
      <c r="D24" s="60">
        <f>IF(ISNUMBER(D13),D13/Assumptions!$D$8-1,"n.m.")</f>
        <v/>
      </c>
      <c r="E24" s="60">
        <f>IF(ISNUMBER(E13),E13/Assumptions!$D$8-1,"n.m.")</f>
        <v/>
      </c>
      <c r="F24" s="60">
        <f>IF(ISNUMBER(F13),F13/Assumptions!$D$8-1,"n.m.")</f>
        <v/>
      </c>
      <c r="G24" s="60">
        <f>IF(ISNUMBER(G13),G13/Assumptions!$D$8-1,"n.m.")</f>
        <v/>
      </c>
      <c r="H24" s="60">
        <f>IF(ISNUMBER(H13),H13/Assumptions!$D$8-1,"n.m.")</f>
        <v/>
      </c>
      <c r="I24" s="60">
        <f>IF(ISNUMBER(I13),I13/Assumptions!$D$8-1,"n.m.")</f>
        <v/>
      </c>
      <c r="J24" s="60">
        <f>IF(ISNUMBER(J13),J13/Assumptions!$D$8-1,"n.m.")</f>
        <v/>
      </c>
    </row>
    <row r="25">
      <c r="C25" s="59">
        <f>C14</f>
        <v/>
      </c>
      <c r="D25" s="60">
        <f>IF(ISNUMBER(D14),D14/Assumptions!$D$8-1,"n.m.")</f>
        <v/>
      </c>
      <c r="E25" s="60">
        <f>IF(ISNUMBER(E14),E14/Assumptions!$D$8-1,"n.m.")</f>
        <v/>
      </c>
      <c r="F25" s="60">
        <f>IF(ISNUMBER(F14),F14/Assumptions!$D$8-1,"n.m.")</f>
        <v/>
      </c>
      <c r="G25" s="60">
        <f>IF(ISNUMBER(G14),G14/Assumptions!$D$8-1,"n.m.")</f>
        <v/>
      </c>
      <c r="H25" s="60">
        <f>IF(ISNUMBER(H14),H14/Assumptions!$D$8-1,"n.m.")</f>
        <v/>
      </c>
      <c r="I25" s="60">
        <f>IF(ISNUMBER(I14),I14/Assumptions!$D$8-1,"n.m.")</f>
        <v/>
      </c>
      <c r="J25" s="60">
        <f>IF(ISNUMBER(J14),J14/Assumptions!$D$8-1,"n.m.")</f>
        <v/>
      </c>
    </row>
    <row r="27">
      <c r="B27" t="inlineStr">
        <is>
          <t>Check: grid center less OUT-DCF price (should be 0.00)</t>
        </is>
      </c>
      <c r="G27" s="52">
        <f>ROUND(G11-'OUT-DCF'!G26,6)</f>
        <v/>
      </c>
    </row>
    <row r="29">
      <c r="B29" s="8" t="inlineStr">
        <is>
          <t>What the Current Price Implies</t>
        </is>
      </c>
      <c r="C29" s="9" t="n"/>
      <c r="D29" s="9" t="n"/>
      <c r="E29" s="9" t="n"/>
      <c r="F29" s="9" t="n"/>
      <c r="G29" s="9" t="n"/>
      <c r="H29" s="9" t="n"/>
      <c r="I29" s="9" t="n"/>
      <c r="J29" s="9" t="n"/>
    </row>
    <row r="30">
      <c r="B30" s="5" t="inlineStr">
        <is>
          <t>PV of FY26–30 FCFE</t>
        </is>
      </c>
      <c r="G30" s="29">
        <f>'OUT-DCF'!G23</f>
        <v/>
      </c>
    </row>
    <row r="31">
      <c r="B31" s="5" t="inlineStr">
        <is>
          <t>Terminal value (PV) needed to justify current price</t>
        </is>
      </c>
      <c r="G31" s="27">
        <f>Assumptions!D8*Assumptions!D9-G30</f>
        <v/>
      </c>
    </row>
    <row r="32">
      <c r="B32" s="5" t="inlineStr">
        <is>
          <t>Helper: (1+g)/(k–g) implied</t>
        </is>
      </c>
      <c r="G32" s="52">
        <f>G31*(1+'OUT-DCF'!G19)^'OUT-DCF'!G21/'OUT-DCF'!G17</f>
        <v/>
      </c>
    </row>
    <row r="33">
      <c r="B33" s="2" t="inlineStr">
        <is>
          <t>Market-implied terminal growth at base k</t>
        </is>
      </c>
      <c r="G33" s="33">
        <f>(G32*'OUT-DCF'!G19-1)/(G32+1)</f>
        <v/>
      </c>
    </row>
  </sheetData>
  <conditionalFormatting sqref="D8:J14">
    <cfRule type="expression" priority="1" dxfId="0">
      <formula>AND(ISNUMBER(D8),D8&gt;=Assumptions!$D$8)</formula>
    </cfRule>
    <cfRule type="expression" priority="2" dxfId="1">
      <formula>AND(ISNUMBER(D8),D8&lt;Assumptions!$D$8)</formula>
    </cfRule>
  </conditionalFormatting>
  <conditionalFormatting sqref="D19:J25">
    <cfRule type="expression" priority="3" dxfId="0">
      <formula>AND(ISNUMBER(D19),D19&gt;=0)</formula>
    </cfRule>
    <cfRule type="expression" priority="4" dxfId="1">
      <formula>AND(ISNUMBER(D19),D19&lt;0)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K41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9" customWidth="1" min="3" max="3"/>
    <col width="2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2">
      <c r="B2" s="1" t="inlineStr">
        <is>
          <t>Rithm Capital Corp. – Trading Comps</t>
        </is>
      </c>
    </row>
    <row r="3">
      <c r="B3" s="7" t="inlineStr">
        <is>
          <t>($ in millions, except per-share data)</t>
        </is>
      </c>
    </row>
    <row r="5">
      <c r="B5" s="8" t="inlineStr">
        <is>
          <t>Peer Multiples (Finviz, 9/30/2026)</t>
        </is>
      </c>
      <c r="C5" s="9" t="n"/>
      <c r="D5" s="9" t="n"/>
      <c r="E5" s="9" t="n"/>
      <c r="F5" s="9" t="n"/>
      <c r="G5" s="9" t="n"/>
      <c r="H5" s="9" t="n"/>
      <c r="I5" s="9" t="n"/>
    </row>
    <row r="6">
      <c r="B6" s="17" t="inlineStr">
        <is>
          <t>Company</t>
        </is>
      </c>
      <c r="C6" s="17" t="inlineStr">
        <is>
          <t>Ticker</t>
        </is>
      </c>
      <c r="D6" s="17" t="inlineStr">
        <is>
          <t>Business</t>
        </is>
      </c>
      <c r="E6" s="17" t="inlineStr">
        <is>
          <t>Fwd P/E</t>
        </is>
      </c>
      <c r="F6" s="17" t="inlineStr">
        <is>
          <t>P/B</t>
        </is>
      </c>
      <c r="G6" s="17" t="inlineStr">
        <is>
          <t>Div. yield</t>
        </is>
      </c>
      <c r="H6" s="17" t="inlineStr">
        <is>
          <t>Mkt cap ($bn)</t>
        </is>
      </c>
      <c r="I6" s="17" t="inlineStr">
        <is>
          <t>Beta</t>
        </is>
      </c>
      <c r="J6" s="62" t="inlineStr">
        <is>
          <t>Yield (payers)</t>
        </is>
      </c>
    </row>
    <row r="7">
      <c r="B7" s="5" t="inlineStr">
        <is>
          <t>Annaly Capital Management</t>
        </is>
      </c>
      <c r="C7" s="5" t="inlineStr">
        <is>
          <t>NLY</t>
        </is>
      </c>
      <c r="D7" s="5" t="inlineStr">
        <is>
          <t>Agency mREIT</t>
        </is>
      </c>
      <c r="E7" s="63" t="n">
        <v>6.13</v>
      </c>
      <c r="F7" s="63" t="n">
        <v>0.95</v>
      </c>
      <c r="G7" s="64" t="n">
        <v>0.1537</v>
      </c>
      <c r="H7" s="65" t="n">
        <v>14.44</v>
      </c>
      <c r="I7" s="65" t="n">
        <v>1.27</v>
      </c>
      <c r="J7" s="30">
        <f>IF(G7&gt;=0.05,G7,"")</f>
        <v/>
      </c>
    </row>
    <row r="8">
      <c r="B8" s="5" t="inlineStr">
        <is>
          <t>AGNC Investment</t>
        </is>
      </c>
      <c r="C8" s="5" t="inlineStr">
        <is>
          <t>AGNC</t>
        </is>
      </c>
      <c r="D8" s="5" t="inlineStr">
        <is>
          <t>Agency mREIT</t>
        </is>
      </c>
      <c r="E8" s="63" t="n">
        <v>6.09</v>
      </c>
      <c r="F8" s="63" t="n">
        <v>1.01</v>
      </c>
      <c r="G8" s="64" t="n">
        <v>0.1575</v>
      </c>
      <c r="H8" s="65" t="n">
        <v>10.84</v>
      </c>
      <c r="I8" s="65" t="n">
        <v>1.34</v>
      </c>
      <c r="J8" s="30">
        <f>IF(G8&gt;=0.05,G8,"")</f>
        <v/>
      </c>
    </row>
    <row r="9">
      <c r="B9" s="5" t="inlineStr">
        <is>
          <t>PennyMac Financial Services</t>
        </is>
      </c>
      <c r="C9" s="5" t="inlineStr">
        <is>
          <t>PFSI</t>
        </is>
      </c>
      <c r="D9" s="5" t="inlineStr">
        <is>
          <t>Originator / servicer</t>
        </is>
      </c>
      <c r="E9" s="63" t="n">
        <v>5.74</v>
      </c>
      <c r="F9" s="63" t="n">
        <v>0.75</v>
      </c>
      <c r="G9" s="64" t="n">
        <v>0.0128</v>
      </c>
      <c r="H9" s="65" t="n">
        <v>3.24</v>
      </c>
      <c r="I9" s="65" t="n">
        <v>1.44</v>
      </c>
      <c r="J9" s="30">
        <f>IF(G9&gt;=0.05,G9,"")</f>
        <v/>
      </c>
    </row>
    <row r="10">
      <c r="B10" s="5" t="inlineStr">
        <is>
          <t>Rocket Companies</t>
        </is>
      </c>
      <c r="C10" s="5" t="inlineStr">
        <is>
          <t>RKT</t>
        </is>
      </c>
      <c r="D10" s="5" t="inlineStr">
        <is>
          <t>Originator / servicer</t>
        </is>
      </c>
      <c r="E10" s="63" t="n">
        <v>13.45</v>
      </c>
      <c r="F10" s="63" t="n">
        <v>1.39</v>
      </c>
      <c r="G10" s="64" t="n">
        <v>0</v>
      </c>
      <c r="H10" s="65" t="n">
        <v>32.8</v>
      </c>
      <c r="I10" s="65" t="n">
        <v>2.23</v>
      </c>
      <c r="J10" s="30">
        <f>IF(G10&gt;=0.05,G10,"")</f>
        <v/>
      </c>
    </row>
    <row r="11">
      <c r="B11" s="5" t="inlineStr">
        <is>
          <t>Starwood Property Trust</t>
        </is>
      </c>
      <c r="C11" s="5" t="inlineStr">
        <is>
          <t>STWD</t>
        </is>
      </c>
      <c r="D11" s="5" t="inlineStr">
        <is>
          <t>Diversified / commercial REIT</t>
        </is>
      </c>
      <c r="E11" s="63" t="n">
        <v>7.16</v>
      </c>
      <c r="F11" s="63" t="n">
        <v>0.77</v>
      </c>
      <c r="G11" s="64" t="n">
        <v>0.1413</v>
      </c>
      <c r="H11" s="65" t="n">
        <v>5.03</v>
      </c>
      <c r="I11" s="65" t="n">
        <v>1.04</v>
      </c>
      <c r="J11" s="30">
        <f>IF(G11&gt;=0.05,G11,"")</f>
        <v/>
      </c>
    </row>
    <row r="13">
      <c r="B13" s="5" t="inlineStr">
        <is>
          <t>High</t>
        </is>
      </c>
      <c r="E13" s="40">
        <f>MAX(E7:E11)</f>
        <v/>
      </c>
      <c r="F13" s="40">
        <f>MAX(F7:F11)</f>
        <v/>
      </c>
      <c r="G13" s="30">
        <f>MAX(J7:J11)</f>
        <v/>
      </c>
      <c r="K13" s="7" t="inlineStr">
        <is>
          <t>Dividend-yield stats exclude PFSI and RKT, which retain most earnings.</t>
        </is>
      </c>
    </row>
    <row r="14">
      <c r="B14" s="5" t="inlineStr">
        <is>
          <t>75th percentile</t>
        </is>
      </c>
      <c r="E14" s="40">
        <f>QUARTILE(E7:E11,3)</f>
        <v/>
      </c>
      <c r="F14" s="40">
        <f>QUARTILE(F7:F11,3)</f>
        <v/>
      </c>
      <c r="G14" s="30">
        <f>QUARTILE(J7:J11,3)</f>
        <v/>
      </c>
    </row>
    <row r="15">
      <c r="B15" s="2" t="inlineStr">
        <is>
          <t>Median</t>
        </is>
      </c>
      <c r="E15" s="51">
        <f>MEDIAN(E7:E11)</f>
        <v/>
      </c>
      <c r="F15" s="51">
        <f>MEDIAN(F7:F11)</f>
        <v/>
      </c>
      <c r="G15" s="66">
        <f>MEDIAN(J7:J11)</f>
        <v/>
      </c>
    </row>
    <row r="16">
      <c r="B16" s="5" t="inlineStr">
        <is>
          <t>25th percentile</t>
        </is>
      </c>
      <c r="E16" s="40">
        <f>QUARTILE(E7:E11,1)</f>
        <v/>
      </c>
      <c r="F16" s="40">
        <f>QUARTILE(F7:F11,1)</f>
        <v/>
      </c>
      <c r="G16" s="30">
        <f>QUARTILE(J7:J11,1)</f>
        <v/>
      </c>
    </row>
    <row r="17">
      <c r="B17" s="5" t="inlineStr">
        <is>
          <t>Low</t>
        </is>
      </c>
      <c r="E17" s="40">
        <f>MIN(E7:E11)</f>
        <v/>
      </c>
      <c r="F17" s="40">
        <f>MIN(F7:F11)</f>
        <v/>
      </c>
      <c r="G17" s="30">
        <f>MIN(J7:J11)</f>
        <v/>
      </c>
    </row>
    <row r="19">
      <c r="B19" s="67" t="inlineStr">
        <is>
          <t>Rithm Capital (RITM)</t>
        </is>
      </c>
      <c r="C19" s="68" t="inlineStr">
        <is>
          <t>RITM</t>
        </is>
      </c>
      <c r="D19" s="68" t="n"/>
      <c r="E19" s="69" t="n">
        <v>3.8</v>
      </c>
      <c r="F19" s="70">
        <f>Assumptions!D8/Assumptions!D10</f>
        <v/>
      </c>
      <c r="G19" s="71">
        <f>'Historical Financials'!G17/Assumptions!D8</f>
        <v/>
      </c>
      <c r="H19" s="72" t="n">
        <v>4.99</v>
      </c>
      <c r="I19" s="72" t="n">
        <v>1.15</v>
      </c>
    </row>
    <row r="21">
      <c r="B21" s="8" t="inlineStr">
        <is>
          <t>RITM Per-Share Inputs</t>
        </is>
      </c>
      <c r="C21" s="9" t="n"/>
      <c r="D21" s="9" t="n"/>
      <c r="E21" s="9" t="n"/>
      <c r="F21" s="9" t="n"/>
      <c r="G21" s="9" t="n"/>
      <c r="H21" s="9" t="n"/>
      <c r="I21" s="9" t="n"/>
    </row>
    <row r="22">
      <c r="B22" s="5" t="inlineStr">
        <is>
          <t>Book value per share (Q2 2026)</t>
        </is>
      </c>
      <c r="G22" s="56">
        <f>Assumptions!D10</f>
        <v/>
      </c>
    </row>
    <row r="23">
      <c r="B23" s="5" t="inlineStr">
        <is>
          <t>Consensus forward EPS (price ÷ Finviz forward P/E)</t>
        </is>
      </c>
      <c r="G23" s="56">
        <f>Assumptions!D8/E19</f>
        <v/>
      </c>
      <c r="K23" s="7" t="inlineStr">
        <is>
          <t>Consensus forward EPS is on an EAD-like basis; it is the like-for-like match for peer forward P/Es.</t>
        </is>
      </c>
    </row>
    <row r="24">
      <c r="B24" s="5" t="inlineStr">
        <is>
          <t>Model core EPS, FY'26E</t>
        </is>
      </c>
      <c r="G24" s="56">
        <f>'Operating Model Output'!C14</f>
        <v/>
      </c>
    </row>
    <row r="25">
      <c r="B25" s="5" t="inlineStr">
        <is>
          <t>Dividend per share (annualized)</t>
        </is>
      </c>
      <c r="G25" s="56">
        <f>'Historical Financials'!G17</f>
        <v/>
      </c>
    </row>
    <row r="27">
      <c r="B27" s="8" t="inlineStr">
        <is>
          <t>Implied Share Price</t>
        </is>
      </c>
      <c r="C27" s="9" t="n"/>
      <c r="D27" s="9" t="n"/>
      <c r="E27" s="9" t="n"/>
      <c r="F27" s="9" t="n"/>
      <c r="G27" s="9" t="n"/>
      <c r="H27" s="9" t="n"/>
      <c r="I27" s="9" t="n"/>
    </row>
    <row r="28">
      <c r="B28" s="17" t="inlineStr">
        <is>
          <t>Peer multiple applied</t>
        </is>
      </c>
      <c r="C28" s="17" t="inlineStr"/>
      <c r="D28" s="17" t="inlineStr"/>
      <c r="E28" s="17" t="inlineStr">
        <is>
          <t>P/B × book</t>
        </is>
      </c>
      <c r="F28" s="17" t="inlineStr">
        <is>
          <t>Fwd P/E × consensus EPS</t>
        </is>
      </c>
      <c r="G28" s="17" t="inlineStr">
        <is>
          <t>Dividend ÷ peer yield</t>
        </is>
      </c>
      <c r="H28" s="17" t="inlineStr"/>
      <c r="I28" s="17" t="inlineStr"/>
    </row>
    <row r="29">
      <c r="B29" s="5" t="inlineStr">
        <is>
          <t>High</t>
        </is>
      </c>
      <c r="E29" s="38">
        <f>F13*$G$22</f>
        <v/>
      </c>
      <c r="F29" s="38">
        <f>E13*$G$23</f>
        <v/>
      </c>
      <c r="G29" s="38">
        <f>$G$25/G13</f>
        <v/>
      </c>
      <c r="K29" s="7" t="inlineStr">
        <is>
          <t>Dividend-yield method inverts: a high peer yield implies a low price, so its High row is the lowest value.</t>
        </is>
      </c>
    </row>
    <row r="30">
      <c r="B30" s="5" t="inlineStr">
        <is>
          <t>75th percentile</t>
        </is>
      </c>
      <c r="E30" s="38">
        <f>F14*$G$22</f>
        <v/>
      </c>
      <c r="F30" s="38">
        <f>E14*$G$23</f>
        <v/>
      </c>
      <c r="G30" s="38">
        <f>$G$25/G14</f>
        <v/>
      </c>
    </row>
    <row r="31">
      <c r="B31" s="2" t="inlineStr">
        <is>
          <t>Median</t>
        </is>
      </c>
      <c r="E31" s="39">
        <f>F15*$G$22</f>
        <v/>
      </c>
      <c r="F31" s="39">
        <f>E15*$G$23</f>
        <v/>
      </c>
      <c r="G31" s="39">
        <f>$G$25/G15</f>
        <v/>
      </c>
    </row>
    <row r="32">
      <c r="B32" s="5" t="inlineStr">
        <is>
          <t>25th percentile</t>
        </is>
      </c>
      <c r="E32" s="38">
        <f>F16*$G$22</f>
        <v/>
      </c>
      <c r="F32" s="38">
        <f>E16*$G$23</f>
        <v/>
      </c>
      <c r="G32" s="38">
        <f>$G$25/G16</f>
        <v/>
      </c>
    </row>
    <row r="33">
      <c r="B33" s="5" t="inlineStr">
        <is>
          <t>Low</t>
        </is>
      </c>
      <c r="E33" s="38">
        <f>F17*$G$22</f>
        <v/>
      </c>
      <c r="F33" s="38">
        <f>E17*$G$23</f>
        <v/>
      </c>
      <c r="G33" s="38">
        <f>$G$25/G17</f>
        <v/>
      </c>
    </row>
    <row r="35">
      <c r="B35" s="8" t="inlineStr">
        <is>
          <t>Justified Price-to-Book (ROE vs. Cost of Equity)</t>
        </is>
      </c>
      <c r="C35" s="9" t="n"/>
      <c r="D35" s="9" t="n"/>
      <c r="E35" s="9" t="n"/>
      <c r="F35" s="9" t="n"/>
      <c r="G35" s="9" t="n"/>
      <c r="H35" s="9" t="n"/>
      <c r="I35" s="9" t="n"/>
    </row>
    <row r="36">
      <c r="B36" s="5" t="inlineStr">
        <is>
          <t>Core ROE, FY'26E</t>
        </is>
      </c>
      <c r="G36" s="31">
        <f>'Operating Model Output'!C26</f>
        <v/>
      </c>
    </row>
    <row r="37">
      <c r="B37" s="5" t="inlineStr">
        <is>
          <t>Cost of equity (k)</t>
        </is>
      </c>
      <c r="G37" s="46">
        <f>'Cost of Equity'!I27</f>
        <v/>
      </c>
    </row>
    <row r="38">
      <c r="B38" s="5" t="inlineStr">
        <is>
          <t>Long-run growth (g)</t>
        </is>
      </c>
      <c r="G38" s="31">
        <f>Assumptions!D50</f>
        <v/>
      </c>
    </row>
    <row r="39">
      <c r="B39" s="2" t="inlineStr">
        <is>
          <t>Justified P/B = (ROE – g) ÷ (k – g)</t>
        </is>
      </c>
      <c r="G39" s="51">
        <f>(G36-G38)/(G37-G38)</f>
        <v/>
      </c>
      <c r="K39" s="7" t="inlineStr">
        <is>
          <t>A financial earning its cost of equity should trade at 1.0x book; below that, the market expects ROE &lt; k.</t>
        </is>
      </c>
    </row>
    <row r="40">
      <c r="B40" s="2" t="inlineStr">
        <is>
          <t>Implied share price</t>
        </is>
      </c>
      <c r="G40" s="73">
        <f>G39*G22</f>
        <v/>
      </c>
    </row>
    <row r="41">
      <c r="B41" s="5" t="inlineStr">
        <is>
          <t>Current P/B</t>
        </is>
      </c>
      <c r="G41" s="40">
        <f>F19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F59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1" customWidth="1" min="3" max="3"/>
    <col width="11" customWidth="1" min="4" max="4"/>
    <col width="11" customWidth="1" min="5" max="5"/>
    <col width="11" customWidth="1" min="6" max="6"/>
    <col width="2" customWidth="1" min="7" max="7"/>
    <col width="40" customWidth="1" min="8" max="8"/>
  </cols>
  <sheetData>
    <row r="2">
      <c r="B2" s="1" t="inlineStr">
        <is>
          <t>Rithm Capital Corp. – Valuation Summary</t>
        </is>
      </c>
    </row>
    <row r="3">
      <c r="B3" s="7" t="inlineStr">
        <is>
          <t>($ in millions, except per-share data)</t>
        </is>
      </c>
    </row>
    <row r="5">
      <c r="B5" s="8" t="inlineStr">
        <is>
          <t>Price Target Summary</t>
        </is>
      </c>
      <c r="C5" s="9" t="n"/>
      <c r="D5" s="9" t="n"/>
      <c r="E5" s="9" t="n"/>
      <c r="F5" s="9" t="n"/>
    </row>
    <row r="6">
      <c r="B6" s="5" t="inlineStr">
        <is>
          <t>Current share price</t>
        </is>
      </c>
      <c r="F6" s="14">
        <f>Assumptions!D8</f>
        <v/>
      </c>
    </row>
    <row r="7">
      <c r="B7" s="2" t="inlineStr">
        <is>
          <t>DCF price target (active scenario)</t>
        </is>
      </c>
      <c r="F7" s="14">
        <f>'OUT-DCF'!G26</f>
        <v/>
      </c>
    </row>
    <row r="8">
      <c r="B8" s="2" t="inlineStr">
        <is>
          <t>Upside / (downside)</t>
        </is>
      </c>
      <c r="F8" s="74">
        <f>F7/F6-1</f>
        <v/>
      </c>
    </row>
    <row r="9">
      <c r="B9" s="5" t="inlineStr">
        <is>
          <t>Scenario</t>
        </is>
      </c>
      <c r="F9" s="75">
        <f>Assumptions!D18</f>
        <v/>
      </c>
    </row>
    <row r="10">
      <c r="B10" s="5" t="inlineStr">
        <is>
          <t>Implied P/B at DCF price</t>
        </is>
      </c>
      <c r="F10" s="76">
        <f>'OUT-DCF'!G30</f>
        <v/>
      </c>
    </row>
    <row r="11">
      <c r="B11" s="5" t="inlineStr">
        <is>
          <t>Market-implied terminal growth</t>
        </is>
      </c>
      <c r="F11" s="77">
        <f>'DCF Sensitivity'!G33</f>
        <v/>
      </c>
    </row>
    <row r="12">
      <c r="B12" s="5" t="inlineStr">
        <is>
          <t>Dividend yield at current price</t>
        </is>
      </c>
      <c r="F12" s="78">
        <f>'Comps Valuation'!G19</f>
        <v/>
      </c>
    </row>
    <row r="14">
      <c r="B14" s="8" t="inlineStr">
        <is>
          <t>Football Field ($ per share)</t>
        </is>
      </c>
      <c r="C14" s="9" t="n"/>
      <c r="D14" s="9" t="n"/>
      <c r="E14" s="9" t="n"/>
      <c r="F14" s="9" t="n"/>
    </row>
    <row r="15">
      <c r="B15" s="17" t="inlineStr">
        <is>
          <t>Method</t>
        </is>
      </c>
      <c r="C15" s="17" t="inlineStr">
        <is>
          <t>Low</t>
        </is>
      </c>
      <c r="D15" s="17" t="inlineStr">
        <is>
          <t>High</t>
        </is>
      </c>
      <c r="E15" s="17" t="inlineStr">
        <is>
          <t>Midpoint</t>
        </is>
      </c>
      <c r="F15" s="17" t="inlineStr">
        <is>
          <t>Spread</t>
        </is>
      </c>
    </row>
    <row r="16">
      <c r="B16" s="5" t="inlineStr">
        <is>
          <t>52-week trading range</t>
        </is>
      </c>
      <c r="C16" s="56">
        <f>MIN('Price History'!B5:B256)</f>
        <v/>
      </c>
      <c r="D16" s="56">
        <f>MAX('Price History'!B5:B256)</f>
        <v/>
      </c>
      <c r="E16" s="38">
        <f>AVERAGE(C16:D16)</f>
        <v/>
      </c>
      <c r="F16" s="38">
        <f>D16-C16</f>
        <v/>
      </c>
    </row>
    <row r="17">
      <c r="B17" s="5" t="inlineStr">
        <is>
          <t>Peer P/B × book value (25th–75th)</t>
        </is>
      </c>
      <c r="C17" s="56">
        <f>'Comps Valuation'!E32</f>
        <v/>
      </c>
      <c r="D17" s="56">
        <f>'Comps Valuation'!E30</f>
        <v/>
      </c>
      <c r="E17" s="38">
        <f>AVERAGE(C17:D17)</f>
        <v/>
      </c>
      <c r="F17" s="38">
        <f>D17-C17</f>
        <v/>
      </c>
    </row>
    <row r="18">
      <c r="B18" s="5" t="inlineStr">
        <is>
          <t>Peer fwd P/E × consensus EPS (25th–75th)</t>
        </is>
      </c>
      <c r="C18" s="56">
        <f>'Comps Valuation'!F32</f>
        <v/>
      </c>
      <c r="D18" s="56">
        <f>'Comps Valuation'!F30</f>
        <v/>
      </c>
      <c r="E18" s="38">
        <f>AVERAGE(C18:D18)</f>
        <v/>
      </c>
      <c r="F18" s="38">
        <f>D18-C18</f>
        <v/>
      </c>
    </row>
    <row r="19">
      <c r="B19" s="5" t="inlineStr">
        <is>
          <t>Dividend ÷ peer dividend yield (25th–75th)</t>
        </is>
      </c>
      <c r="C19" s="56">
        <f>MIN('Comps Valuation'!G30,'Comps Valuation'!G32)</f>
        <v/>
      </c>
      <c r="D19" s="56">
        <f>MAX('Comps Valuation'!G30,'Comps Valuation'!G32)</f>
        <v/>
      </c>
      <c r="E19" s="38">
        <f>AVERAGE(C19:D19)</f>
        <v/>
      </c>
      <c r="F19" s="38">
        <f>D19-C19</f>
        <v/>
      </c>
    </row>
    <row r="20">
      <c r="B20" s="5" t="inlineStr">
        <is>
          <t>Justified P/B (±1 step on k)</t>
        </is>
      </c>
      <c r="C20" s="56">
        <f>(('Comps Valuation'!G36-'Comps Valuation'!G38)/('Comps Valuation'!G37+Assumptions!D59-'Comps Valuation'!G38))*'Comps Valuation'!G22</f>
        <v/>
      </c>
      <c r="D20" s="56">
        <f>(('Comps Valuation'!G36-'Comps Valuation'!G38)/('Comps Valuation'!G37-Assumptions!D59-'Comps Valuation'!G38))*'Comps Valuation'!G22</f>
        <v/>
      </c>
      <c r="E20" s="38">
        <f>AVERAGE(C20:D20)</f>
        <v/>
      </c>
      <c r="F20" s="38">
        <f>D20-C20</f>
        <v/>
      </c>
    </row>
    <row r="21">
      <c r="B21" s="5" t="inlineStr">
        <is>
          <t>DCF – k ±1 step, g ±1 step</t>
        </is>
      </c>
      <c r="C21" s="56">
        <f>MIN('DCF Sensitivity'!F10:H12)</f>
        <v/>
      </c>
      <c r="D21" s="56">
        <f>MAX('DCF Sensitivity'!F10:H12)</f>
        <v/>
      </c>
      <c r="E21" s="38">
        <f>AVERAGE(C21:D21)</f>
        <v/>
      </c>
      <c r="F21" s="38">
        <f>D21-C21</f>
        <v/>
      </c>
    </row>
    <row r="22">
      <c r="B22" s="5">
        <f>"Current share price ("&amp;TEXT(Assumptions!D8,"$0.00")&amp;")"</f>
        <v/>
      </c>
      <c r="C22" s="56">
        <f>Assumptions!D8-0.05</f>
        <v/>
      </c>
      <c r="D22" s="56">
        <f>Assumptions!D8+0.05</f>
        <v/>
      </c>
      <c r="E22" s="38">
        <f>AVERAGE(C22:D22)</f>
        <v/>
      </c>
      <c r="F22" s="38">
        <f>D22-C22</f>
        <v/>
      </c>
    </row>
    <row r="43">
      <c r="B43" s="8" t="inlineStr">
        <is>
          <t>Key Points and Risks</t>
        </is>
      </c>
      <c r="C43" s="9" t="n"/>
      <c r="D43" s="9" t="n"/>
      <c r="E43" s="9" t="n"/>
      <c r="F43" s="9" t="n"/>
    </row>
    <row r="44" ht="34" customHeight="1">
      <c r="B44" s="6" t="inlineStr">
        <is>
          <t>• Rithm trades at 0.73x book and an 11% dividend yield: the market doubts that core earnings of ~$2/share (EAD) are sustainable, or prices in further book value erosion.</t>
        </is>
      </c>
    </row>
    <row r="45" ht="34" customHeight="1">
      <c r="B45" s="6" t="inlineStr">
        <is>
          <t>• The DCF credits core earnings but charges maintenance capex at Paramount and the equity needed to grow the balance sheet. Maintenance capex is an assumption (Assumptions!D48); office buildings often need more.</t>
        </is>
      </c>
    </row>
    <row r="46" ht="34" customHeight="1">
      <c r="B46" s="6" t="inlineStr">
        <is>
          <t>• Cost of equity is the largest swing factor: peer-implied (~16%) and CAPM (~11%) disagree by ~5 points. See DCF Sensitivity.</t>
        </is>
      </c>
    </row>
    <row r="47" ht="34" customHeight="1">
      <c r="B47" s="6" t="inlineStr">
        <is>
          <t>• GAAP earnings will keep swinging with MSR marks; the model values core earnings, so a sharp fall in rates (faster prepayments) is a key downside risk.</t>
        </is>
      </c>
    </row>
    <row r="48" ht="34" customHeight="1">
      <c r="B48" s="6" t="inlineStr">
        <is>
          <t>• Paramount (office real estate) is loss-making today; the base case assumes losses narrow as leasing recovers.</t>
        </is>
      </c>
    </row>
    <row r="50">
      <c r="B50" s="8" t="inlineStr">
        <is>
          <t>Scenario Snapshot (values captured by switching Assumptions!D17 and recalculating)</t>
        </is>
      </c>
      <c r="C50" s="9" t="n"/>
      <c r="D50" s="9" t="n"/>
      <c r="E50" s="9" t="n"/>
      <c r="F50" s="9" t="n"/>
    </row>
    <row r="51">
      <c r="B51" s="17" t="inlineStr">
        <is>
          <t>Metric</t>
        </is>
      </c>
      <c r="C51" s="17" t="inlineStr">
        <is>
          <t>Base</t>
        </is>
      </c>
      <c r="D51" s="17" t="inlineStr">
        <is>
          <t>Conservative</t>
        </is>
      </c>
      <c r="E51" s="17" t="inlineStr">
        <is>
          <t>Bullish</t>
        </is>
      </c>
      <c r="F51" s="17" t="inlineStr"/>
    </row>
    <row r="52">
      <c r="B52" s="5" t="inlineStr">
        <is>
          <t>Implied share price</t>
        </is>
      </c>
      <c r="C52" s="34" t="n">
        <v>13.6043135895159</v>
      </c>
      <c r="D52" s="34" t="n">
        <v>6.04865032418386</v>
      </c>
      <c r="E52" s="34" t="n">
        <v>20.2168036009634</v>
      </c>
    </row>
    <row r="53">
      <c r="B53" s="5" t="inlineStr">
        <is>
          <t>Upside / (downside)</t>
        </is>
      </c>
      <c r="C53" s="79" t="n">
        <v>0.519186330487534</v>
      </c>
      <c r="D53" s="79" t="n">
        <v>-0.324550494228491</v>
      </c>
      <c r="E53" s="79" t="n">
        <v>1.25759950876197</v>
      </c>
    </row>
    <row r="54">
      <c r="B54" s="5" t="inlineStr">
        <is>
          <t>Implied P/B</t>
        </is>
      </c>
      <c r="C54" s="63" t="n">
        <v>1.10354486464154</v>
      </c>
      <c r="D54" s="63" t="n">
        <v>0.490650039735154</v>
      </c>
      <c r="E54" s="63" t="n">
        <v>1.639932044091</v>
      </c>
    </row>
    <row r="55">
      <c r="B55" s="5" t="inlineStr">
        <is>
          <t>Core EPS, FY'26E</t>
        </is>
      </c>
      <c r="C55" s="34" t="n">
        <v>1.49249467231094</v>
      </c>
      <c r="D55" s="34" t="n">
        <v>0.965362458567331</v>
      </c>
      <c r="E55" s="34" t="n">
        <v>1.80697164987164</v>
      </c>
    </row>
    <row r="56">
      <c r="B56" s="5" t="inlineStr">
        <is>
          <t>FCFE per share, FY'26E</t>
        </is>
      </c>
      <c r="C56" s="34" t="n">
        <v>1.19477933721209</v>
      </c>
      <c r="D56" s="34" t="n">
        <v>0.778516587576727</v>
      </c>
      <c r="E56" s="34" t="n">
        <v>1.51952715218691</v>
      </c>
    </row>
    <row r="57">
      <c r="B57" s="5" t="inlineStr">
        <is>
          <t>Core ROE, FY'26E</t>
        </is>
      </c>
      <c r="C57" s="64" t="n">
        <v>0.123203810255948</v>
      </c>
      <c r="D57" s="64" t="n">
        <v>0.07968961992298899</v>
      </c>
      <c r="E57" s="64" t="n">
        <v>0.149163542368935</v>
      </c>
    </row>
    <row r="58">
      <c r="B58" s="5" t="inlineStr">
        <is>
          <t>Core ROE, FY'30E</t>
        </is>
      </c>
      <c r="C58" s="64" t="n">
        <v>0.146942634854052</v>
      </c>
      <c r="D58" s="64" t="n">
        <v>0.0720572772756489</v>
      </c>
      <c r="E58" s="64" t="n">
        <v>0.194921448611754</v>
      </c>
    </row>
    <row r="59">
      <c r="B59" s="7" t="inlineStr">
        <is>
          <t>Blue = pasted outputs; they do not update. Re-run by setting Assumptions!D17 to 1, 2 or 3.</t>
        </is>
      </c>
    </row>
  </sheetData>
  <mergeCells count="5">
    <mergeCell ref="B44:F44"/>
    <mergeCell ref="B47:F47"/>
    <mergeCell ref="B48:F48"/>
    <mergeCell ref="B45:F45"/>
    <mergeCell ref="B46:F46"/>
  </mergeCell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56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</cols>
  <sheetData>
    <row r="1">
      <c r="A1" s="2" t="inlineStr">
        <is>
          <t>Price History: RITM (daily close, Yahoo Finance)</t>
        </is>
      </c>
    </row>
    <row r="4">
      <c r="A4" s="2" t="inlineStr">
        <is>
          <t>Date</t>
        </is>
      </c>
      <c r="B4" s="2" t="inlineStr">
        <is>
          <t>Close</t>
        </is>
      </c>
    </row>
    <row r="5">
      <c r="A5" s="80" t="n">
        <v>46295</v>
      </c>
      <c r="B5" s="65" t="n">
        <v>8.949999999999999</v>
      </c>
    </row>
    <row r="6">
      <c r="A6" s="80" t="n">
        <v>46294</v>
      </c>
      <c r="B6" s="65" t="n">
        <v>9.119999999999999</v>
      </c>
    </row>
    <row r="7">
      <c r="A7" s="80" t="n">
        <v>46293</v>
      </c>
      <c r="B7" s="65" t="n">
        <v>9.08</v>
      </c>
    </row>
    <row r="8">
      <c r="A8" s="80" t="n">
        <v>46290</v>
      </c>
      <c r="B8" s="65" t="n">
        <v>9.130000000000001</v>
      </c>
    </row>
    <row r="9">
      <c r="A9" s="80" t="n">
        <v>46289</v>
      </c>
      <c r="B9" s="65" t="n">
        <v>9.119999999999999</v>
      </c>
    </row>
    <row r="10">
      <c r="A10" s="80" t="n">
        <v>46288</v>
      </c>
      <c r="B10" s="65" t="n">
        <v>9.42</v>
      </c>
    </row>
    <row r="11">
      <c r="A11" s="80" t="n">
        <v>46287</v>
      </c>
      <c r="B11" s="65" t="n">
        <v>9.640000000000001</v>
      </c>
    </row>
    <row r="12">
      <c r="A12" s="80" t="n">
        <v>46286</v>
      </c>
      <c r="B12" s="65" t="n">
        <v>9.550000000000001</v>
      </c>
    </row>
    <row r="13">
      <c r="A13" s="80" t="n">
        <v>46283</v>
      </c>
      <c r="B13" s="65" t="n">
        <v>9.35</v>
      </c>
    </row>
    <row r="14">
      <c r="A14" s="80" t="n">
        <v>46282</v>
      </c>
      <c r="B14" s="65" t="n">
        <v>9.49</v>
      </c>
    </row>
    <row r="15">
      <c r="A15" s="80" t="n">
        <v>46281</v>
      </c>
      <c r="B15" s="65" t="n">
        <v>9.48</v>
      </c>
    </row>
    <row r="16">
      <c r="A16" s="80" t="n">
        <v>46280</v>
      </c>
      <c r="B16" s="65" t="n">
        <v>9.57</v>
      </c>
    </row>
    <row r="17">
      <c r="A17" s="80" t="n">
        <v>46279</v>
      </c>
      <c r="B17" s="65" t="n">
        <v>9.77</v>
      </c>
    </row>
    <row r="18">
      <c r="A18" s="80" t="n">
        <v>46276</v>
      </c>
      <c r="B18" s="65" t="n">
        <v>9.74</v>
      </c>
    </row>
    <row r="19">
      <c r="A19" s="80" t="n">
        <v>46275</v>
      </c>
      <c r="B19" s="65" t="n">
        <v>9.66</v>
      </c>
    </row>
    <row r="20">
      <c r="A20" s="80" t="n">
        <v>46274</v>
      </c>
      <c r="B20" s="65" t="n">
        <v>9.859999999999999</v>
      </c>
    </row>
    <row r="21">
      <c r="A21" s="80" t="n">
        <v>46273</v>
      </c>
      <c r="B21" s="65" t="n">
        <v>9.949999999999999</v>
      </c>
    </row>
    <row r="22">
      <c r="A22" s="80" t="n">
        <v>46269</v>
      </c>
      <c r="B22" s="65" t="n">
        <v>10.08</v>
      </c>
    </row>
    <row r="23">
      <c r="A23" s="80" t="n">
        <v>46268</v>
      </c>
      <c r="B23" s="65" t="n">
        <v>10.05</v>
      </c>
    </row>
    <row r="24">
      <c r="A24" s="80" t="n">
        <v>46267</v>
      </c>
      <c r="B24" s="65" t="n">
        <v>10.02</v>
      </c>
    </row>
    <row r="25">
      <c r="A25" s="80" t="n">
        <v>46266</v>
      </c>
      <c r="B25" s="65" t="n">
        <v>9.890000000000001</v>
      </c>
    </row>
    <row r="26">
      <c r="A26" s="80" t="n">
        <v>46265</v>
      </c>
      <c r="B26" s="65" t="n">
        <v>10.03</v>
      </c>
    </row>
    <row r="27">
      <c r="A27" s="80" t="n">
        <v>46262</v>
      </c>
      <c r="B27" s="65" t="n">
        <v>10.08</v>
      </c>
    </row>
    <row r="28">
      <c r="A28" s="80" t="n">
        <v>46261</v>
      </c>
      <c r="B28" s="65" t="n">
        <v>10.01</v>
      </c>
    </row>
    <row r="29">
      <c r="A29" s="80" t="n">
        <v>46260</v>
      </c>
      <c r="B29" s="65" t="n">
        <v>10.08</v>
      </c>
    </row>
    <row r="30">
      <c r="A30" s="80" t="n">
        <v>46259</v>
      </c>
      <c r="B30" s="65" t="n">
        <v>10.17</v>
      </c>
    </row>
    <row r="31">
      <c r="A31" s="80" t="n">
        <v>46258</v>
      </c>
      <c r="B31" s="65" t="n">
        <v>10.25</v>
      </c>
    </row>
    <row r="32">
      <c r="A32" s="80" t="n">
        <v>46255</v>
      </c>
      <c r="B32" s="65" t="n">
        <v>10.19</v>
      </c>
    </row>
    <row r="33">
      <c r="A33" s="80" t="n">
        <v>46254</v>
      </c>
      <c r="B33" s="65" t="n">
        <v>10.16</v>
      </c>
    </row>
    <row r="34">
      <c r="A34" s="80" t="n">
        <v>46253</v>
      </c>
      <c r="B34" s="65" t="n">
        <v>10.38</v>
      </c>
    </row>
    <row r="35">
      <c r="A35" s="80" t="n">
        <v>46252</v>
      </c>
      <c r="B35" s="65" t="n">
        <v>10.2</v>
      </c>
    </row>
    <row r="36">
      <c r="A36" s="80" t="n">
        <v>46251</v>
      </c>
      <c r="B36" s="65" t="n">
        <v>10.26</v>
      </c>
    </row>
    <row r="37">
      <c r="A37" s="80" t="n">
        <v>46248</v>
      </c>
      <c r="B37" s="65" t="n">
        <v>10.36</v>
      </c>
    </row>
    <row r="38">
      <c r="A38" s="80" t="n">
        <v>46247</v>
      </c>
      <c r="B38" s="65" t="n">
        <v>10.36</v>
      </c>
    </row>
    <row r="39">
      <c r="A39" s="80" t="n">
        <v>46246</v>
      </c>
      <c r="B39" s="65" t="n">
        <v>10.23</v>
      </c>
    </row>
    <row r="40">
      <c r="A40" s="80" t="n">
        <v>46245</v>
      </c>
      <c r="B40" s="65" t="n">
        <v>10.25</v>
      </c>
    </row>
    <row r="41">
      <c r="A41" s="80" t="n">
        <v>46244</v>
      </c>
      <c r="B41" s="65" t="n">
        <v>10.11</v>
      </c>
    </row>
    <row r="42">
      <c r="A42" s="80" t="n">
        <v>46241</v>
      </c>
      <c r="B42" s="65" t="n">
        <v>10.19</v>
      </c>
    </row>
    <row r="43">
      <c r="A43" s="80" t="n">
        <v>46240</v>
      </c>
      <c r="B43" s="65" t="n">
        <v>9.94</v>
      </c>
    </row>
    <row r="44">
      <c r="A44" s="80" t="n">
        <v>46239</v>
      </c>
      <c r="B44" s="65" t="n">
        <v>10.1</v>
      </c>
    </row>
    <row r="45">
      <c r="A45" s="80" t="n">
        <v>46238</v>
      </c>
      <c r="B45" s="65" t="n">
        <v>10.25</v>
      </c>
    </row>
    <row r="46">
      <c r="A46" s="80" t="n">
        <v>46237</v>
      </c>
      <c r="B46" s="65" t="n">
        <v>10.06</v>
      </c>
    </row>
    <row r="47">
      <c r="A47" s="80" t="n">
        <v>46234</v>
      </c>
      <c r="B47" s="65" t="n">
        <v>9.880000000000001</v>
      </c>
    </row>
    <row r="48">
      <c r="A48" s="80" t="n">
        <v>46233</v>
      </c>
      <c r="B48" s="65" t="n">
        <v>9.869999999999999</v>
      </c>
    </row>
    <row r="49">
      <c r="A49" s="80" t="n">
        <v>46232</v>
      </c>
      <c r="B49" s="65" t="n">
        <v>9.99</v>
      </c>
    </row>
    <row r="50">
      <c r="A50" s="80" t="n">
        <v>46231</v>
      </c>
      <c r="B50" s="65" t="n">
        <v>9.779999999999999</v>
      </c>
    </row>
    <row r="51">
      <c r="A51" s="80" t="n">
        <v>46230</v>
      </c>
      <c r="B51" s="65" t="n">
        <v>9.23</v>
      </c>
    </row>
    <row r="52">
      <c r="A52" s="80" t="n">
        <v>46227</v>
      </c>
      <c r="B52" s="65" t="n">
        <v>9.119999999999999</v>
      </c>
    </row>
    <row r="53">
      <c r="A53" s="80" t="n">
        <v>46226</v>
      </c>
      <c r="B53" s="65" t="n">
        <v>8.98</v>
      </c>
    </row>
    <row r="54">
      <c r="A54" s="80" t="n">
        <v>46225</v>
      </c>
      <c r="B54" s="65" t="n">
        <v>9.130000000000001</v>
      </c>
    </row>
    <row r="55">
      <c r="A55" s="80" t="n">
        <v>46224</v>
      </c>
      <c r="B55" s="65" t="n">
        <v>9.15</v>
      </c>
    </row>
    <row r="56">
      <c r="A56" s="80" t="n">
        <v>46223</v>
      </c>
      <c r="B56" s="65" t="n">
        <v>9.199999999999999</v>
      </c>
    </row>
    <row r="57">
      <c r="A57" s="80" t="n">
        <v>46220</v>
      </c>
      <c r="B57" s="65" t="n">
        <v>9.32</v>
      </c>
    </row>
    <row r="58">
      <c r="A58" s="80" t="n">
        <v>46219</v>
      </c>
      <c r="B58" s="65" t="n">
        <v>9.43</v>
      </c>
    </row>
    <row r="59">
      <c r="A59" s="80" t="n">
        <v>46218</v>
      </c>
      <c r="B59" s="65" t="n">
        <v>9.23</v>
      </c>
    </row>
    <row r="60">
      <c r="A60" s="80" t="n">
        <v>46217</v>
      </c>
      <c r="B60" s="65" t="n">
        <v>9.220000000000001</v>
      </c>
    </row>
    <row r="61">
      <c r="A61" s="80" t="n">
        <v>46216</v>
      </c>
      <c r="B61" s="65" t="n">
        <v>9.07</v>
      </c>
    </row>
    <row r="62">
      <c r="A62" s="80" t="n">
        <v>46213</v>
      </c>
      <c r="B62" s="65" t="n">
        <v>9.18</v>
      </c>
    </row>
    <row r="63">
      <c r="A63" s="80" t="n">
        <v>46212</v>
      </c>
      <c r="B63" s="65" t="n">
        <v>9.210000000000001</v>
      </c>
    </row>
    <row r="64">
      <c r="A64" s="80" t="n">
        <v>46211</v>
      </c>
      <c r="B64" s="65" t="n">
        <v>8.99</v>
      </c>
    </row>
    <row r="65">
      <c r="A65" s="80" t="n">
        <v>46210</v>
      </c>
      <c r="B65" s="65" t="n">
        <v>9.220000000000001</v>
      </c>
    </row>
    <row r="66">
      <c r="A66" s="80" t="n">
        <v>46209</v>
      </c>
      <c r="B66" s="65" t="n">
        <v>9.23</v>
      </c>
    </row>
    <row r="67">
      <c r="A67" s="80" t="n">
        <v>46205</v>
      </c>
      <c r="B67" s="65" t="n">
        <v>9.09</v>
      </c>
    </row>
    <row r="68">
      <c r="A68" s="80" t="n">
        <v>46204</v>
      </c>
      <c r="B68" s="65" t="n">
        <v>9.359999999999999</v>
      </c>
    </row>
    <row r="69">
      <c r="A69" s="80" t="n">
        <v>46203</v>
      </c>
      <c r="B69" s="65" t="n">
        <v>9.390000000000001</v>
      </c>
    </row>
    <row r="70">
      <c r="A70" s="80" t="n">
        <v>46202</v>
      </c>
      <c r="B70" s="65" t="n">
        <v>9.42</v>
      </c>
    </row>
    <row r="71">
      <c r="A71" s="80" t="n">
        <v>46199</v>
      </c>
      <c r="B71" s="65" t="n">
        <v>9.380000000000001</v>
      </c>
    </row>
    <row r="72">
      <c r="A72" s="80" t="n">
        <v>46198</v>
      </c>
      <c r="B72" s="65" t="n">
        <v>9.32</v>
      </c>
    </row>
    <row r="73">
      <c r="A73" s="80" t="n">
        <v>46197</v>
      </c>
      <c r="B73" s="65" t="n">
        <v>9.24</v>
      </c>
    </row>
    <row r="74">
      <c r="A74" s="80" t="n">
        <v>46196</v>
      </c>
      <c r="B74" s="65" t="n">
        <v>9.210000000000001</v>
      </c>
    </row>
    <row r="75">
      <c r="A75" s="80" t="n">
        <v>46195</v>
      </c>
      <c r="B75" s="65" t="n">
        <v>9.140000000000001</v>
      </c>
    </row>
    <row r="76">
      <c r="A76" s="80" t="n">
        <v>46191</v>
      </c>
      <c r="B76" s="65" t="n">
        <v>9.19</v>
      </c>
    </row>
    <row r="77">
      <c r="A77" s="80" t="n">
        <v>46190</v>
      </c>
      <c r="B77" s="65" t="n">
        <v>9.199999999999999</v>
      </c>
    </row>
    <row r="78">
      <c r="A78" s="80" t="n">
        <v>46189</v>
      </c>
      <c r="B78" s="65" t="n">
        <v>9.33</v>
      </c>
    </row>
    <row r="79">
      <c r="A79" s="80" t="n">
        <v>46188</v>
      </c>
      <c r="B79" s="65" t="n">
        <v>9.19</v>
      </c>
    </row>
    <row r="80">
      <c r="A80" s="80" t="n">
        <v>46185</v>
      </c>
      <c r="B80" s="65" t="n">
        <v>9.31</v>
      </c>
    </row>
    <row r="81">
      <c r="A81" s="80" t="n">
        <v>46184</v>
      </c>
      <c r="B81" s="65" t="n">
        <v>9.24</v>
      </c>
    </row>
    <row r="82">
      <c r="A82" s="80" t="n">
        <v>46183</v>
      </c>
      <c r="B82" s="65" t="n">
        <v>9.16</v>
      </c>
    </row>
    <row r="83">
      <c r="A83" s="80" t="n">
        <v>46182</v>
      </c>
      <c r="B83" s="65" t="n">
        <v>9.34</v>
      </c>
    </row>
    <row r="84">
      <c r="A84" s="80" t="n">
        <v>46181</v>
      </c>
      <c r="B84" s="65" t="n">
        <v>9.039999999999999</v>
      </c>
    </row>
    <row r="85">
      <c r="A85" s="80" t="n">
        <v>46178</v>
      </c>
      <c r="B85" s="65" t="n">
        <v>9.130000000000001</v>
      </c>
    </row>
    <row r="86">
      <c r="A86" s="80" t="n">
        <v>46177</v>
      </c>
      <c r="B86" s="65" t="n">
        <v>9.17</v>
      </c>
    </row>
    <row r="87">
      <c r="A87" s="80" t="n">
        <v>46176</v>
      </c>
      <c r="B87" s="65" t="n">
        <v>9.02</v>
      </c>
    </row>
    <row r="88">
      <c r="A88" s="80" t="n">
        <v>46175</v>
      </c>
      <c r="B88" s="65" t="n">
        <v>9.25</v>
      </c>
    </row>
    <row r="89">
      <c r="A89" s="80" t="n">
        <v>46174</v>
      </c>
      <c r="B89" s="65" t="n">
        <v>9.1</v>
      </c>
    </row>
    <row r="90">
      <c r="A90" s="80" t="n">
        <v>46171</v>
      </c>
      <c r="B90" s="65" t="n">
        <v>9.32</v>
      </c>
    </row>
    <row r="91">
      <c r="A91" s="80" t="n">
        <v>46170</v>
      </c>
      <c r="B91" s="65" t="n">
        <v>9.26</v>
      </c>
    </row>
    <row r="92">
      <c r="A92" s="80" t="n">
        <v>46169</v>
      </c>
      <c r="B92" s="65" t="n">
        <v>9.31</v>
      </c>
    </row>
    <row r="93">
      <c r="A93" s="80" t="n">
        <v>46168</v>
      </c>
      <c r="B93" s="65" t="n">
        <v>9.27</v>
      </c>
    </row>
    <row r="94">
      <c r="A94" s="80" t="n">
        <v>46164</v>
      </c>
      <c r="B94" s="65" t="n">
        <v>9.26</v>
      </c>
    </row>
    <row r="95">
      <c r="A95" s="80" t="n">
        <v>46163</v>
      </c>
      <c r="B95" s="65" t="n">
        <v>9.26</v>
      </c>
    </row>
    <row r="96">
      <c r="A96" s="80" t="n">
        <v>46162</v>
      </c>
      <c r="B96" s="65" t="n">
        <v>9.27</v>
      </c>
    </row>
    <row r="97">
      <c r="A97" s="80" t="n">
        <v>46161</v>
      </c>
      <c r="B97" s="65" t="n">
        <v>9</v>
      </c>
    </row>
    <row r="98">
      <c r="A98" s="80" t="n">
        <v>46160</v>
      </c>
      <c r="B98" s="65" t="n">
        <v>9.130000000000001</v>
      </c>
    </row>
    <row r="99">
      <c r="A99" s="80" t="n">
        <v>46157</v>
      </c>
      <c r="B99" s="65" t="n">
        <v>9.130000000000001</v>
      </c>
    </row>
    <row r="100">
      <c r="A100" s="80" t="n">
        <v>46156</v>
      </c>
      <c r="B100" s="65" t="n">
        <v>9.300000000000001</v>
      </c>
    </row>
    <row r="101">
      <c r="A101" s="80" t="n">
        <v>46155</v>
      </c>
      <c r="B101" s="65" t="n">
        <v>9.25</v>
      </c>
    </row>
    <row r="102">
      <c r="A102" s="80" t="n">
        <v>46154</v>
      </c>
      <c r="B102" s="65" t="n">
        <v>9.66</v>
      </c>
    </row>
    <row r="103">
      <c r="A103" s="80" t="n">
        <v>46153</v>
      </c>
      <c r="B103" s="65" t="n">
        <v>9.699999999999999</v>
      </c>
    </row>
    <row r="104">
      <c r="A104" s="80" t="n">
        <v>46150</v>
      </c>
      <c r="B104" s="65" t="n">
        <v>9.84</v>
      </c>
    </row>
    <row r="105">
      <c r="A105" s="80" t="n">
        <v>46149</v>
      </c>
      <c r="B105" s="65" t="n">
        <v>9.789999999999999</v>
      </c>
    </row>
    <row r="106">
      <c r="A106" s="80" t="n">
        <v>46148</v>
      </c>
      <c r="B106" s="65" t="n">
        <v>9.84</v>
      </c>
    </row>
    <row r="107">
      <c r="A107" s="80" t="n">
        <v>46147</v>
      </c>
      <c r="B107" s="65" t="n">
        <v>9.699999999999999</v>
      </c>
    </row>
    <row r="108">
      <c r="A108" s="80" t="n">
        <v>46146</v>
      </c>
      <c r="B108" s="65" t="n">
        <v>9.640000000000001</v>
      </c>
    </row>
    <row r="109">
      <c r="A109" s="80" t="n">
        <v>46143</v>
      </c>
      <c r="B109" s="65" t="n">
        <v>9.789999999999999</v>
      </c>
    </row>
    <row r="110">
      <c r="A110" s="80" t="n">
        <v>46142</v>
      </c>
      <c r="B110" s="65" t="n">
        <v>9.779999999999999</v>
      </c>
    </row>
    <row r="111">
      <c r="A111" s="80" t="n">
        <v>46141</v>
      </c>
      <c r="B111" s="65" t="n">
        <v>9.66</v>
      </c>
    </row>
    <row r="112">
      <c r="A112" s="80" t="n">
        <v>46140</v>
      </c>
      <c r="B112" s="65" t="n">
        <v>9.85</v>
      </c>
    </row>
    <row r="113">
      <c r="A113" s="80" t="n">
        <v>46139</v>
      </c>
      <c r="B113" s="65" t="n">
        <v>10.12</v>
      </c>
    </row>
    <row r="114">
      <c r="A114" s="80" t="n">
        <v>46136</v>
      </c>
      <c r="B114" s="65" t="n">
        <v>10.13</v>
      </c>
    </row>
    <row r="115">
      <c r="A115" s="80" t="n">
        <v>46135</v>
      </c>
      <c r="B115" s="65" t="n">
        <v>10.12</v>
      </c>
    </row>
    <row r="116">
      <c r="A116" s="80" t="n">
        <v>46134</v>
      </c>
      <c r="B116" s="65" t="n">
        <v>10.18</v>
      </c>
    </row>
    <row r="117">
      <c r="A117" s="80" t="n">
        <v>46133</v>
      </c>
      <c r="B117" s="65" t="n">
        <v>10.17</v>
      </c>
    </row>
    <row r="118">
      <c r="A118" s="80" t="n">
        <v>46132</v>
      </c>
      <c r="B118" s="65" t="n">
        <v>10.1</v>
      </c>
    </row>
    <row r="119">
      <c r="A119" s="80" t="n">
        <v>46129</v>
      </c>
      <c r="B119" s="65" t="n">
        <v>10.16</v>
      </c>
    </row>
    <row r="120">
      <c r="A120" s="80" t="n">
        <v>46128</v>
      </c>
      <c r="B120" s="65" t="n">
        <v>9.960000000000001</v>
      </c>
    </row>
    <row r="121">
      <c r="A121" s="80" t="n">
        <v>46127</v>
      </c>
      <c r="B121" s="65" t="n">
        <v>10.18</v>
      </c>
    </row>
    <row r="122">
      <c r="A122" s="80" t="n">
        <v>46126</v>
      </c>
      <c r="B122" s="65" t="n">
        <v>10.12</v>
      </c>
    </row>
    <row r="123">
      <c r="A123" s="80" t="n">
        <v>46125</v>
      </c>
      <c r="B123" s="65" t="n">
        <v>10.09</v>
      </c>
    </row>
    <row r="124">
      <c r="A124" s="80" t="n">
        <v>46122</v>
      </c>
      <c r="B124" s="65" t="n">
        <v>9.94</v>
      </c>
    </row>
    <row r="125">
      <c r="A125" s="80" t="n">
        <v>46121</v>
      </c>
      <c r="B125" s="65" t="n">
        <v>9.91</v>
      </c>
    </row>
    <row r="126">
      <c r="A126" s="80" t="n">
        <v>46120</v>
      </c>
      <c r="B126" s="65" t="n">
        <v>9.789999999999999</v>
      </c>
    </row>
    <row r="127">
      <c r="A127" s="80" t="n">
        <v>46119</v>
      </c>
      <c r="B127" s="65" t="n">
        <v>9.5</v>
      </c>
    </row>
    <row r="128">
      <c r="A128" s="80" t="n">
        <v>46118</v>
      </c>
      <c r="B128" s="65" t="n">
        <v>9.640000000000001</v>
      </c>
    </row>
    <row r="129">
      <c r="A129" s="80" t="n">
        <v>46114</v>
      </c>
      <c r="B129" s="65" t="n">
        <v>9.630000000000001</v>
      </c>
    </row>
    <row r="130">
      <c r="A130" s="80" t="n">
        <v>46113</v>
      </c>
      <c r="B130" s="65" t="n">
        <v>9.470000000000001</v>
      </c>
    </row>
    <row r="131">
      <c r="A131" s="80" t="n">
        <v>46112</v>
      </c>
      <c r="B131" s="65" t="n">
        <v>9.48</v>
      </c>
    </row>
    <row r="132">
      <c r="A132" s="80" t="n">
        <v>46111</v>
      </c>
      <c r="B132" s="65" t="n">
        <v>9.19</v>
      </c>
    </row>
    <row r="133">
      <c r="A133" s="80" t="n">
        <v>46108</v>
      </c>
      <c r="B133" s="65" t="n">
        <v>9.140000000000001</v>
      </c>
    </row>
    <row r="134">
      <c r="A134" s="80" t="n">
        <v>46107</v>
      </c>
      <c r="B134" s="65" t="n">
        <v>9.31</v>
      </c>
    </row>
    <row r="135">
      <c r="A135" s="80" t="n">
        <v>46106</v>
      </c>
      <c r="B135" s="65" t="n">
        <v>9.24</v>
      </c>
    </row>
    <row r="136">
      <c r="A136" s="80" t="n">
        <v>46105</v>
      </c>
      <c r="B136" s="65" t="n">
        <v>9.140000000000001</v>
      </c>
    </row>
    <row r="137">
      <c r="A137" s="80" t="n">
        <v>46104</v>
      </c>
      <c r="B137" s="65" t="n">
        <v>9.06</v>
      </c>
    </row>
    <row r="138">
      <c r="A138" s="80" t="n">
        <v>46101</v>
      </c>
      <c r="B138" s="65" t="n">
        <v>8.77</v>
      </c>
    </row>
    <row r="139">
      <c r="A139" s="80" t="n">
        <v>46100</v>
      </c>
      <c r="B139" s="65" t="n">
        <v>9.029999999999999</v>
      </c>
    </row>
    <row r="140">
      <c r="A140" s="80" t="n">
        <v>46099</v>
      </c>
      <c r="B140" s="65" t="n">
        <v>9.06</v>
      </c>
    </row>
    <row r="141">
      <c r="A141" s="80" t="n">
        <v>46098</v>
      </c>
      <c r="B141" s="65" t="n">
        <v>9.359999999999999</v>
      </c>
    </row>
    <row r="142">
      <c r="A142" s="80" t="n">
        <v>46097</v>
      </c>
      <c r="B142" s="65" t="n">
        <v>9.390000000000001</v>
      </c>
    </row>
    <row r="143">
      <c r="A143" s="80" t="n">
        <v>46094</v>
      </c>
      <c r="B143" s="65" t="n">
        <v>9.449999999999999</v>
      </c>
    </row>
    <row r="144">
      <c r="A144" s="80" t="n">
        <v>46093</v>
      </c>
      <c r="B144" s="65" t="n">
        <v>9.6</v>
      </c>
    </row>
    <row r="145">
      <c r="A145" s="80" t="n">
        <v>46092</v>
      </c>
      <c r="B145" s="65" t="n">
        <v>9.869999999999999</v>
      </c>
    </row>
    <row r="146">
      <c r="A146" s="80" t="n">
        <v>46091</v>
      </c>
      <c r="B146" s="65" t="n">
        <v>9.93</v>
      </c>
    </row>
    <row r="147">
      <c r="A147" s="80" t="n">
        <v>46090</v>
      </c>
      <c r="B147" s="65" t="n">
        <v>9.84</v>
      </c>
    </row>
    <row r="148">
      <c r="A148" s="80" t="n">
        <v>46087</v>
      </c>
      <c r="B148" s="65" t="n">
        <v>9.65</v>
      </c>
    </row>
    <row r="149">
      <c r="A149" s="80" t="n">
        <v>46086</v>
      </c>
      <c r="B149" s="65" t="n">
        <v>9.779999999999999</v>
      </c>
    </row>
    <row r="150">
      <c r="A150" s="80" t="n">
        <v>46085</v>
      </c>
      <c r="B150" s="65" t="n">
        <v>9.76</v>
      </c>
    </row>
    <row r="151">
      <c r="A151" s="80" t="n">
        <v>46084</v>
      </c>
      <c r="B151" s="65" t="n">
        <v>9.949999999999999</v>
      </c>
    </row>
    <row r="152">
      <c r="A152" s="80" t="n">
        <v>46083</v>
      </c>
      <c r="B152" s="65" t="n">
        <v>10.09</v>
      </c>
    </row>
    <row r="153">
      <c r="A153" s="80" t="n">
        <v>46080</v>
      </c>
      <c r="B153" s="65" t="n">
        <v>10.05</v>
      </c>
    </row>
    <row r="154">
      <c r="A154" s="80" t="n">
        <v>46079</v>
      </c>
      <c r="B154" s="65" t="n">
        <v>10.4</v>
      </c>
    </row>
    <row r="155">
      <c r="A155" s="80" t="n">
        <v>46078</v>
      </c>
      <c r="B155" s="65" t="n">
        <v>10.22</v>
      </c>
    </row>
    <row r="156">
      <c r="A156" s="80" t="n">
        <v>46077</v>
      </c>
      <c r="B156" s="65" t="n">
        <v>10.15</v>
      </c>
    </row>
    <row r="157">
      <c r="A157" s="80" t="n">
        <v>46076</v>
      </c>
      <c r="B157" s="65" t="n">
        <v>10.01</v>
      </c>
    </row>
    <row r="158">
      <c r="A158" s="80" t="n">
        <v>46073</v>
      </c>
      <c r="B158" s="65" t="n">
        <v>10.45</v>
      </c>
    </row>
    <row r="159">
      <c r="A159" s="80" t="n">
        <v>46072</v>
      </c>
      <c r="B159" s="65" t="n">
        <v>10.58</v>
      </c>
    </row>
    <row r="160">
      <c r="A160" s="80" t="n">
        <v>46071</v>
      </c>
      <c r="B160" s="65" t="n">
        <v>10.62</v>
      </c>
    </row>
    <row r="161">
      <c r="A161" s="80" t="n">
        <v>46070</v>
      </c>
      <c r="B161" s="65" t="n">
        <v>10.6</v>
      </c>
    </row>
    <row r="162">
      <c r="A162" s="80" t="n">
        <v>46066</v>
      </c>
      <c r="B162" s="65" t="n">
        <v>10.57</v>
      </c>
    </row>
    <row r="163">
      <c r="A163" s="80" t="n">
        <v>46065</v>
      </c>
      <c r="B163" s="65" t="n">
        <v>10.57</v>
      </c>
    </row>
    <row r="164">
      <c r="A164" s="80" t="n">
        <v>46064</v>
      </c>
      <c r="B164" s="65" t="n">
        <v>10.7</v>
      </c>
    </row>
    <row r="165">
      <c r="A165" s="80" t="n">
        <v>46063</v>
      </c>
      <c r="B165" s="65" t="n">
        <v>10.67</v>
      </c>
    </row>
    <row r="166">
      <c r="A166" s="80" t="n">
        <v>46062</v>
      </c>
      <c r="B166" s="65" t="n">
        <v>10.65</v>
      </c>
    </row>
    <row r="167">
      <c r="A167" s="80" t="n">
        <v>46059</v>
      </c>
      <c r="B167" s="65" t="n">
        <v>10.73</v>
      </c>
    </row>
    <row r="168">
      <c r="A168" s="80" t="n">
        <v>46058</v>
      </c>
      <c r="B168" s="65" t="n">
        <v>10.74</v>
      </c>
    </row>
    <row r="169">
      <c r="A169" s="80" t="n">
        <v>46057</v>
      </c>
      <c r="B169" s="65" t="n">
        <v>10.78</v>
      </c>
    </row>
    <row r="170">
      <c r="A170" s="80" t="n">
        <v>46056</v>
      </c>
      <c r="B170" s="65" t="n">
        <v>10.95</v>
      </c>
    </row>
    <row r="171">
      <c r="A171" s="80" t="n">
        <v>46055</v>
      </c>
      <c r="B171" s="65" t="n">
        <v>10.8</v>
      </c>
    </row>
    <row r="172">
      <c r="A172" s="80" t="n">
        <v>46052</v>
      </c>
      <c r="B172" s="65" t="n">
        <v>10.94</v>
      </c>
    </row>
    <row r="173">
      <c r="A173" s="80" t="n">
        <v>46051</v>
      </c>
      <c r="B173" s="65" t="n">
        <v>11.92</v>
      </c>
    </row>
    <row r="174">
      <c r="A174" s="80" t="n">
        <v>46050</v>
      </c>
      <c r="B174" s="65" t="n">
        <v>11.9</v>
      </c>
    </row>
    <row r="175">
      <c r="A175" s="80" t="n">
        <v>46049</v>
      </c>
      <c r="B175" s="65" t="n">
        <v>12.06</v>
      </c>
    </row>
    <row r="176">
      <c r="A176" s="80" t="n">
        <v>46048</v>
      </c>
      <c r="B176" s="65" t="n">
        <v>11.99</v>
      </c>
    </row>
    <row r="177">
      <c r="A177" s="80" t="n">
        <v>46045</v>
      </c>
      <c r="B177" s="65" t="n">
        <v>11.78</v>
      </c>
    </row>
    <row r="178">
      <c r="A178" s="80" t="n">
        <v>46044</v>
      </c>
      <c r="B178" s="65" t="n">
        <v>11.92</v>
      </c>
    </row>
    <row r="179">
      <c r="A179" s="80" t="n">
        <v>46043</v>
      </c>
      <c r="B179" s="65" t="n">
        <v>11.75</v>
      </c>
    </row>
    <row r="180">
      <c r="A180" s="80" t="n">
        <v>46042</v>
      </c>
      <c r="B180" s="65" t="n">
        <v>11.57</v>
      </c>
    </row>
    <row r="181">
      <c r="A181" s="80" t="n">
        <v>46038</v>
      </c>
      <c r="B181" s="65" t="n">
        <v>11.76</v>
      </c>
    </row>
    <row r="182">
      <c r="A182" s="80" t="n">
        <v>46037</v>
      </c>
      <c r="B182" s="65" t="n">
        <v>11.35</v>
      </c>
    </row>
    <row r="183">
      <c r="A183" s="80" t="n">
        <v>46036</v>
      </c>
      <c r="B183" s="65" t="n">
        <v>11.2</v>
      </c>
    </row>
    <row r="184">
      <c r="A184" s="80" t="n">
        <v>46035</v>
      </c>
      <c r="B184" s="65" t="n">
        <v>11.2</v>
      </c>
    </row>
    <row r="185">
      <c r="A185" s="80" t="n">
        <v>46034</v>
      </c>
      <c r="B185" s="65" t="n">
        <v>11.4</v>
      </c>
    </row>
    <row r="186">
      <c r="A186" s="80" t="n">
        <v>46031</v>
      </c>
      <c r="B186" s="65" t="n">
        <v>11.57</v>
      </c>
    </row>
    <row r="187">
      <c r="A187" s="80" t="n">
        <v>46030</v>
      </c>
      <c r="B187" s="65" t="n">
        <v>11.39</v>
      </c>
    </row>
    <row r="188">
      <c r="A188" s="80" t="n">
        <v>46029</v>
      </c>
      <c r="B188" s="65" t="n">
        <v>11.15</v>
      </c>
    </row>
    <row r="189">
      <c r="A189" s="80" t="n">
        <v>46028</v>
      </c>
      <c r="B189" s="65" t="n">
        <v>11.15</v>
      </c>
    </row>
    <row r="190">
      <c r="A190" s="80" t="n">
        <v>46027</v>
      </c>
      <c r="B190" s="65" t="n">
        <v>11.15</v>
      </c>
    </row>
    <row r="191">
      <c r="A191" s="80" t="n">
        <v>46024</v>
      </c>
      <c r="B191" s="65" t="n">
        <v>10.98</v>
      </c>
    </row>
    <row r="192">
      <c r="A192" s="80" t="n">
        <v>46022</v>
      </c>
      <c r="B192" s="65" t="n">
        <v>10.9</v>
      </c>
    </row>
    <row r="193">
      <c r="A193" s="80" t="n">
        <v>46021</v>
      </c>
      <c r="B193" s="65" t="n">
        <v>11.07</v>
      </c>
    </row>
    <row r="194">
      <c r="A194" s="80" t="n">
        <v>46020</v>
      </c>
      <c r="B194" s="65" t="n">
        <v>11.07</v>
      </c>
    </row>
    <row r="195">
      <c r="A195" s="80" t="n">
        <v>46017</v>
      </c>
      <c r="B195" s="65" t="n">
        <v>11.16</v>
      </c>
    </row>
    <row r="196">
      <c r="A196" s="80" t="n">
        <v>46015</v>
      </c>
      <c r="B196" s="65" t="n">
        <v>11.16</v>
      </c>
    </row>
    <row r="197">
      <c r="A197" s="80" t="n">
        <v>46014</v>
      </c>
      <c r="B197" s="65" t="n">
        <v>11.05</v>
      </c>
    </row>
    <row r="198">
      <c r="A198" s="80" t="n">
        <v>46013</v>
      </c>
      <c r="B198" s="65" t="n">
        <v>11.14</v>
      </c>
    </row>
    <row r="199">
      <c r="A199" s="80" t="n">
        <v>46010</v>
      </c>
      <c r="B199" s="65" t="n">
        <v>11.17</v>
      </c>
    </row>
    <row r="200">
      <c r="A200" s="80" t="n">
        <v>46009</v>
      </c>
      <c r="B200" s="65" t="n">
        <v>11.23</v>
      </c>
    </row>
    <row r="201">
      <c r="A201" s="80" t="n">
        <v>46008</v>
      </c>
      <c r="B201" s="65" t="n">
        <v>11.15</v>
      </c>
    </row>
    <row r="202">
      <c r="A202" s="80" t="n">
        <v>46007</v>
      </c>
      <c r="B202" s="65" t="n">
        <v>11.04</v>
      </c>
    </row>
    <row r="203">
      <c r="A203" s="80" t="n">
        <v>46006</v>
      </c>
      <c r="B203" s="65" t="n">
        <v>11.19</v>
      </c>
    </row>
    <row r="204">
      <c r="A204" s="80" t="n">
        <v>46003</v>
      </c>
      <c r="B204" s="65" t="n">
        <v>11.11</v>
      </c>
    </row>
    <row r="205">
      <c r="A205" s="80" t="n">
        <v>46002</v>
      </c>
      <c r="B205" s="65" t="n">
        <v>11.14</v>
      </c>
    </row>
    <row r="206">
      <c r="A206" s="80" t="n">
        <v>46001</v>
      </c>
      <c r="B206" s="65" t="n">
        <v>11.21</v>
      </c>
    </row>
    <row r="207">
      <c r="A207" s="80" t="n">
        <v>46000</v>
      </c>
      <c r="B207" s="65" t="n">
        <v>11.02</v>
      </c>
    </row>
    <row r="208">
      <c r="A208" s="80" t="n">
        <v>45999</v>
      </c>
      <c r="B208" s="65" t="n">
        <v>11.07</v>
      </c>
    </row>
    <row r="209">
      <c r="A209" s="80" t="n">
        <v>45996</v>
      </c>
      <c r="B209" s="65" t="n">
        <v>11.34</v>
      </c>
    </row>
    <row r="210">
      <c r="A210" s="80" t="n">
        <v>45995</v>
      </c>
      <c r="B210" s="65" t="n">
        <v>11.36</v>
      </c>
    </row>
    <row r="211">
      <c r="A211" s="80" t="n">
        <v>45994</v>
      </c>
      <c r="B211" s="65" t="n">
        <v>11.42</v>
      </c>
    </row>
    <row r="212">
      <c r="A212" s="80" t="n">
        <v>45993</v>
      </c>
      <c r="B212" s="65" t="n">
        <v>11.33</v>
      </c>
    </row>
    <row r="213">
      <c r="A213" s="80" t="n">
        <v>45992</v>
      </c>
      <c r="B213" s="65" t="n">
        <v>11.45</v>
      </c>
    </row>
    <row r="214">
      <c r="A214" s="80" t="n">
        <v>45989</v>
      </c>
      <c r="B214" s="65" t="n">
        <v>11.49</v>
      </c>
    </row>
    <row r="215">
      <c r="A215" s="80" t="n">
        <v>45987</v>
      </c>
      <c r="B215" s="65" t="n">
        <v>11.52</v>
      </c>
    </row>
    <row r="216">
      <c r="A216" s="80" t="n">
        <v>45986</v>
      </c>
      <c r="B216" s="65" t="n">
        <v>11.39</v>
      </c>
    </row>
    <row r="217">
      <c r="A217" s="80" t="n">
        <v>45985</v>
      </c>
      <c r="B217" s="65" t="n">
        <v>11.02</v>
      </c>
    </row>
    <row r="218">
      <c r="A218" s="80" t="n">
        <v>45982</v>
      </c>
      <c r="B218" s="65" t="n">
        <v>11.03</v>
      </c>
    </row>
    <row r="219">
      <c r="A219" s="80" t="n">
        <v>45981</v>
      </c>
      <c r="B219" s="65" t="n">
        <v>10.79</v>
      </c>
    </row>
    <row r="220">
      <c r="A220" s="80" t="n">
        <v>45980</v>
      </c>
      <c r="B220" s="65" t="n">
        <v>10.84</v>
      </c>
    </row>
    <row r="221">
      <c r="A221" s="80" t="n">
        <v>45979</v>
      </c>
      <c r="B221" s="65" t="n">
        <v>10.87</v>
      </c>
    </row>
    <row r="222">
      <c r="A222" s="80" t="n">
        <v>45978</v>
      </c>
      <c r="B222" s="65" t="n">
        <v>10.86</v>
      </c>
    </row>
    <row r="223">
      <c r="A223" s="80" t="n">
        <v>45975</v>
      </c>
      <c r="B223" s="65" t="n">
        <v>11.12</v>
      </c>
    </row>
    <row r="224">
      <c r="A224" s="80" t="n">
        <v>45974</v>
      </c>
      <c r="B224" s="65" t="n">
        <v>11.15</v>
      </c>
    </row>
    <row r="225">
      <c r="A225" s="80" t="n">
        <v>45973</v>
      </c>
      <c r="B225" s="65" t="n">
        <v>11.24</v>
      </c>
    </row>
    <row r="226">
      <c r="A226" s="80" t="n">
        <v>45972</v>
      </c>
      <c r="B226" s="65" t="n">
        <v>11.14</v>
      </c>
    </row>
    <row r="227">
      <c r="A227" s="80" t="n">
        <v>45971</v>
      </c>
      <c r="B227" s="65" t="n">
        <v>11.05</v>
      </c>
    </row>
    <row r="228">
      <c r="A228" s="80" t="n">
        <v>45968</v>
      </c>
      <c r="B228" s="65" t="n">
        <v>11.03</v>
      </c>
    </row>
    <row r="229">
      <c r="A229" s="80" t="n">
        <v>45967</v>
      </c>
      <c r="B229" s="65" t="n">
        <v>10.96</v>
      </c>
    </row>
    <row r="230">
      <c r="A230" s="80" t="n">
        <v>45966</v>
      </c>
      <c r="B230" s="65" t="n">
        <v>11.11</v>
      </c>
    </row>
    <row r="231">
      <c r="A231" s="80" t="n">
        <v>45965</v>
      </c>
      <c r="B231" s="65" t="n">
        <v>10.99</v>
      </c>
    </row>
    <row r="232">
      <c r="A232" s="80" t="n">
        <v>45964</v>
      </c>
      <c r="B232" s="65" t="n">
        <v>11.07</v>
      </c>
    </row>
    <row r="233">
      <c r="A233" s="80" t="n">
        <v>45961</v>
      </c>
      <c r="B233" s="65" t="n">
        <v>10.97</v>
      </c>
    </row>
    <row r="234">
      <c r="A234" s="80" t="n">
        <v>45960</v>
      </c>
      <c r="B234" s="65" t="n">
        <v>10.99</v>
      </c>
    </row>
    <row r="235">
      <c r="A235" s="80" t="n">
        <v>45959</v>
      </c>
      <c r="B235" s="65" t="n">
        <v>10.93</v>
      </c>
    </row>
    <row r="236">
      <c r="A236" s="80" t="n">
        <v>45958</v>
      </c>
      <c r="B236" s="65" t="n">
        <v>10.83</v>
      </c>
    </row>
    <row r="237">
      <c r="A237" s="80" t="n">
        <v>45957</v>
      </c>
      <c r="B237" s="65" t="n">
        <v>10.94</v>
      </c>
    </row>
    <row r="238">
      <c r="A238" s="80" t="n">
        <v>45954</v>
      </c>
      <c r="B238" s="65" t="n">
        <v>10.86</v>
      </c>
    </row>
    <row r="239">
      <c r="A239" s="80" t="n">
        <v>45953</v>
      </c>
      <c r="B239" s="65" t="n">
        <v>10.83</v>
      </c>
    </row>
    <row r="240">
      <c r="A240" s="80" t="n">
        <v>45952</v>
      </c>
      <c r="B240" s="65" t="n">
        <v>10.89</v>
      </c>
    </row>
    <row r="241">
      <c r="A241" s="80" t="n">
        <v>45951</v>
      </c>
      <c r="B241" s="65" t="n">
        <v>10.82</v>
      </c>
    </row>
    <row r="242">
      <c r="A242" s="80" t="n">
        <v>45950</v>
      </c>
      <c r="B242" s="65" t="n">
        <v>10.91</v>
      </c>
    </row>
    <row r="243">
      <c r="A243" s="80" t="n">
        <v>45947</v>
      </c>
      <c r="B243" s="65" t="n">
        <v>10.83</v>
      </c>
    </row>
    <row r="244">
      <c r="A244" s="80" t="n">
        <v>45946</v>
      </c>
      <c r="B244" s="65" t="n">
        <v>10.7</v>
      </c>
    </row>
    <row r="245">
      <c r="A245" s="80" t="n">
        <v>45945</v>
      </c>
      <c r="B245" s="65" t="n">
        <v>10.92</v>
      </c>
    </row>
    <row r="246">
      <c r="A246" s="80" t="n">
        <v>45944</v>
      </c>
      <c r="B246" s="65" t="n">
        <v>10.91</v>
      </c>
    </row>
    <row r="247">
      <c r="A247" s="80" t="n">
        <v>45943</v>
      </c>
      <c r="B247" s="65" t="n">
        <v>10.77</v>
      </c>
    </row>
    <row r="248">
      <c r="A248" s="80" t="n">
        <v>45940</v>
      </c>
      <c r="B248" s="65" t="n">
        <v>10.65</v>
      </c>
    </row>
    <row r="249">
      <c r="A249" s="80" t="n">
        <v>45939</v>
      </c>
      <c r="B249" s="65" t="n">
        <v>10.78</v>
      </c>
    </row>
    <row r="250">
      <c r="A250" s="80" t="n">
        <v>45938</v>
      </c>
      <c r="B250" s="65" t="n">
        <v>10.95</v>
      </c>
    </row>
    <row r="251">
      <c r="A251" s="80" t="n">
        <v>45937</v>
      </c>
      <c r="B251" s="65" t="n">
        <v>10.88</v>
      </c>
    </row>
    <row r="252">
      <c r="A252" s="80" t="n">
        <v>45936</v>
      </c>
      <c r="B252" s="65" t="n">
        <v>10.9</v>
      </c>
    </row>
    <row r="253">
      <c r="A253" s="80" t="n">
        <v>45933</v>
      </c>
      <c r="B253" s="65" t="n">
        <v>11.15</v>
      </c>
    </row>
    <row r="254">
      <c r="A254" s="80" t="n">
        <v>45932</v>
      </c>
      <c r="B254" s="65" t="n">
        <v>11.17</v>
      </c>
    </row>
    <row r="255">
      <c r="A255" s="80" t="n">
        <v>45931</v>
      </c>
      <c r="B255" s="65" t="n">
        <v>11.22</v>
      </c>
    </row>
    <row r="256">
      <c r="A256" s="80" t="n">
        <v>45930</v>
      </c>
      <c r="B256" s="65" t="n">
        <v>11.39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2026-09-30T18:23:52Z</dcterms:created>
  <dcterms:modified xmlns:dcterms="http://purl.org/dc/terms/" xmlns:xsi="http://www.w3.org/2001/XMLSchema-instance" xsi:type="dcterms:W3CDTF">2026-09-30T18:23:52Z</dcterms:modified>
</cp:coreProperties>
</file>