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zanderalt/Documents/Claude/Projects/VC proj./DCFs/"/>
    </mc:Choice>
  </mc:AlternateContent>
  <xr:revisionPtr revIDLastSave="0" documentId="13_ncr:1_{84CC83FD-353D-C440-8C29-7C08E22B2E6F}" xr6:coauthVersionLast="47" xr6:coauthVersionMax="47" xr10:uidLastSave="{00000000-0000-0000-0000-000000000000}"/>
  <bookViews>
    <workbookView xWindow="0" yWindow="0" windowWidth="28800" windowHeight="18000" tabRatio="500" xr2:uid="{00000000-000D-0000-FFFF-FFFF00000000}"/>
  </bookViews>
  <sheets>
    <sheet name="README" sheetId="1" r:id="rId1"/>
    <sheet name="Assumptions" sheetId="2" r:id="rId2"/>
    <sheet name="Segment Forecast" sheetId="3" r:id="rId3"/>
    <sheet name="Historical Financials" sheetId="4" r:id="rId4"/>
    <sheet name="Cost of Equity" sheetId="5" r:id="rId5"/>
    <sheet name="Operating Model Output" sheetId="6" r:id="rId6"/>
    <sheet name="OUT-DCF" sheetId="7" r:id="rId7"/>
    <sheet name="DCF Sensitivity" sheetId="8" r:id="rId8"/>
    <sheet name="Comps Valuation" sheetId="9" r:id="rId9"/>
    <sheet name="Valuation Summary" sheetId="10" r:id="rId10"/>
    <sheet name="Price History" sheetId="11" r:id="rId1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4" i="9" l="1"/>
  <c r="G23" i="9"/>
  <c r="H18" i="9"/>
  <c r="G18" i="9"/>
  <c r="F18" i="9"/>
  <c r="E18" i="9"/>
  <c r="H17" i="9"/>
  <c r="G17" i="9"/>
  <c r="F17" i="9"/>
  <c r="E17" i="9"/>
  <c r="H16" i="9"/>
  <c r="G16" i="9"/>
  <c r="F16" i="9"/>
  <c r="E16" i="9"/>
  <c r="H15" i="9"/>
  <c r="G15" i="9"/>
  <c r="F15" i="9"/>
  <c r="E15" i="9"/>
  <c r="H14" i="9"/>
  <c r="G14" i="9"/>
  <c r="F14" i="9"/>
  <c r="E14" i="9"/>
  <c r="G32" i="7"/>
  <c r="G37" i="7" s="1"/>
  <c r="G30" i="7"/>
  <c r="E28" i="6"/>
  <c r="D28" i="6"/>
  <c r="C25" i="6"/>
  <c r="J27" i="5"/>
  <c r="J20" i="5"/>
  <c r="J19" i="5"/>
  <c r="J18" i="5"/>
  <c r="J21" i="5" s="1"/>
  <c r="J25" i="5" s="1"/>
  <c r="F12" i="5"/>
  <c r="E12" i="5"/>
  <c r="G12" i="5" s="1"/>
  <c r="J12" i="5" s="1"/>
  <c r="F11" i="5"/>
  <c r="E11" i="5"/>
  <c r="G11" i="5" s="1"/>
  <c r="J11" i="5" s="1"/>
  <c r="F10" i="5"/>
  <c r="E10" i="5"/>
  <c r="G10" i="5" s="1"/>
  <c r="J10" i="5" s="1"/>
  <c r="F9" i="5"/>
  <c r="E9" i="5"/>
  <c r="G9" i="5" s="1"/>
  <c r="J9" i="5" s="1"/>
  <c r="F8" i="5"/>
  <c r="E8" i="5"/>
  <c r="G8" i="5" s="1"/>
  <c r="J8" i="5" s="1"/>
  <c r="F7" i="5"/>
  <c r="F14" i="5" s="1"/>
  <c r="E7" i="5"/>
  <c r="G7" i="5" s="1"/>
  <c r="J7" i="5" s="1"/>
  <c r="I64" i="4"/>
  <c r="H64" i="4"/>
  <c r="E64" i="4"/>
  <c r="I63" i="4"/>
  <c r="H63" i="4"/>
  <c r="G63" i="4"/>
  <c r="E63" i="4"/>
  <c r="D63" i="4"/>
  <c r="F60" i="4"/>
  <c r="C60" i="4"/>
  <c r="H52" i="4"/>
  <c r="D13" i="2" s="1"/>
  <c r="G28" i="7" s="1"/>
  <c r="G52" i="4"/>
  <c r="H47" i="4"/>
  <c r="H48" i="4" s="1"/>
  <c r="G47" i="4"/>
  <c r="G48" i="4" s="1"/>
  <c r="H39" i="4"/>
  <c r="D10" i="2" s="1"/>
  <c r="G25" i="7" s="1"/>
  <c r="G39" i="4"/>
  <c r="I31" i="4"/>
  <c r="H31" i="4"/>
  <c r="G31" i="4"/>
  <c r="F31" i="4"/>
  <c r="E31" i="4"/>
  <c r="D31" i="4"/>
  <c r="C31" i="4"/>
  <c r="G30" i="4"/>
  <c r="I29" i="4"/>
  <c r="H29" i="4"/>
  <c r="G29" i="4"/>
  <c r="F29" i="4"/>
  <c r="E29" i="4"/>
  <c r="D29" i="4"/>
  <c r="C29" i="4"/>
  <c r="I28" i="4"/>
  <c r="H28" i="4"/>
  <c r="G28" i="4"/>
  <c r="F28" i="4"/>
  <c r="E28" i="4"/>
  <c r="D28" i="4"/>
  <c r="C28" i="4"/>
  <c r="J27" i="4"/>
  <c r="J26" i="4"/>
  <c r="J28" i="4" s="1"/>
  <c r="J25" i="4"/>
  <c r="J24" i="4"/>
  <c r="I22" i="4"/>
  <c r="H22" i="4"/>
  <c r="G22" i="4"/>
  <c r="F22" i="4"/>
  <c r="E22" i="4"/>
  <c r="D22" i="4"/>
  <c r="C22" i="4"/>
  <c r="J21" i="4"/>
  <c r="J20" i="4"/>
  <c r="J22" i="4" s="1"/>
  <c r="J18" i="4"/>
  <c r="I17" i="4"/>
  <c r="I19" i="4" s="1"/>
  <c r="H17" i="4"/>
  <c r="H19" i="4" s="1"/>
  <c r="G17" i="4"/>
  <c r="G19" i="4" s="1"/>
  <c r="F17" i="4"/>
  <c r="F19" i="4" s="1"/>
  <c r="E17" i="4"/>
  <c r="E19" i="4" s="1"/>
  <c r="D17" i="4"/>
  <c r="D19" i="4" s="1"/>
  <c r="C17" i="4"/>
  <c r="C19" i="4" s="1"/>
  <c r="J16" i="4"/>
  <c r="I15" i="4"/>
  <c r="H15" i="4"/>
  <c r="G15" i="4"/>
  <c r="F15" i="4"/>
  <c r="E15" i="4"/>
  <c r="D15" i="4"/>
  <c r="C15" i="4"/>
  <c r="J14" i="4"/>
  <c r="E13" i="4"/>
  <c r="D13" i="4"/>
  <c r="C13" i="4"/>
  <c r="J12" i="4"/>
  <c r="J11" i="4"/>
  <c r="E10" i="4"/>
  <c r="D10" i="4"/>
  <c r="C10" i="4"/>
  <c r="I9" i="4"/>
  <c r="H9" i="4"/>
  <c r="G9" i="4"/>
  <c r="F9" i="4"/>
  <c r="E9" i="4"/>
  <c r="D9" i="4"/>
  <c r="C9" i="4"/>
  <c r="J8" i="4"/>
  <c r="J7" i="4"/>
  <c r="G18" i="3"/>
  <c r="G20" i="3" s="1"/>
  <c r="E10" i="3"/>
  <c r="D9" i="3"/>
  <c r="C9" i="3"/>
  <c r="E8" i="3"/>
  <c r="E7" i="3"/>
  <c r="D49" i="2"/>
  <c r="D48" i="2"/>
  <c r="G18" i="7" s="1"/>
  <c r="D47" i="2"/>
  <c r="D46" i="2"/>
  <c r="D45" i="2"/>
  <c r="F28" i="6" s="1"/>
  <c r="D44" i="2"/>
  <c r="C18" i="6" s="1"/>
  <c r="D43" i="2"/>
  <c r="D42" i="2"/>
  <c r="D41" i="2"/>
  <c r="C11" i="6" s="1"/>
  <c r="D40" i="2"/>
  <c r="D39" i="2"/>
  <c r="D36" i="2"/>
  <c r="D35" i="2"/>
  <c r="D34" i="2"/>
  <c r="D31" i="2"/>
  <c r="D30" i="2"/>
  <c r="D29" i="2"/>
  <c r="D26" i="2"/>
  <c r="D25" i="2"/>
  <c r="D24" i="2"/>
  <c r="D21" i="2"/>
  <c r="D15" i="2"/>
  <c r="C10" i="7" s="1"/>
  <c r="D12" i="2"/>
  <c r="D11" i="2"/>
  <c r="G26" i="7" s="1"/>
  <c r="E22" i="10"/>
  <c r="D22" i="10"/>
  <c r="F22" i="10" s="1"/>
  <c r="C22" i="10"/>
  <c r="B22" i="10"/>
  <c r="D21" i="10"/>
  <c r="F21" i="10" s="1"/>
  <c r="C21" i="10"/>
  <c r="E21" i="10" s="1"/>
  <c r="D16" i="10"/>
  <c r="F16" i="10" s="1"/>
  <c r="C16" i="10"/>
  <c r="E16" i="10" s="1"/>
  <c r="F9" i="10"/>
  <c r="F6" i="10"/>
  <c r="G10" i="3" l="1"/>
  <c r="H10" i="3" s="1"/>
  <c r="I10" i="3" s="1"/>
  <c r="J10" i="3" s="1"/>
  <c r="K10" i="3" s="1"/>
  <c r="G8" i="3"/>
  <c r="H8" i="3" s="1"/>
  <c r="I8" i="3" s="1"/>
  <c r="J8" i="3" s="1"/>
  <c r="K8" i="3" s="1"/>
  <c r="G27" i="7"/>
  <c r="G26" i="9" s="1"/>
  <c r="C28" i="6"/>
  <c r="G28" i="6"/>
  <c r="J29" i="4"/>
  <c r="J9" i="4"/>
  <c r="J10" i="4" s="1"/>
  <c r="J31" i="4"/>
  <c r="G25" i="9"/>
  <c r="E36" i="9"/>
  <c r="E35" i="9"/>
  <c r="C17" i="10" s="1"/>
  <c r="E34" i="9"/>
  <c r="E33" i="9"/>
  <c r="D17" i="10" s="1"/>
  <c r="F17" i="10" s="1"/>
  <c r="E32" i="9"/>
  <c r="J7" i="8"/>
  <c r="J18" i="8" s="1"/>
  <c r="I7" i="8"/>
  <c r="I18" i="8" s="1"/>
  <c r="H7" i="8"/>
  <c r="H18" i="8" s="1"/>
  <c r="G7" i="8"/>
  <c r="G18" i="8" s="1"/>
  <c r="F7" i="8"/>
  <c r="F18" i="8" s="1"/>
  <c r="E7" i="8"/>
  <c r="E18" i="8" s="1"/>
  <c r="D7" i="8"/>
  <c r="D18" i="8" s="1"/>
  <c r="J15" i="5"/>
  <c r="J14" i="5"/>
  <c r="J24" i="5" s="1"/>
  <c r="J26" i="5" s="1"/>
  <c r="J28" i="5" s="1"/>
  <c r="D10" i="3"/>
  <c r="F63" i="4"/>
  <c r="C10" i="3"/>
  <c r="C63" i="4"/>
  <c r="J17" i="4"/>
  <c r="J19" i="4" s="1"/>
  <c r="J15" i="4"/>
  <c r="J13" i="4"/>
  <c r="I13" i="4"/>
  <c r="I10" i="4"/>
  <c r="H10" i="4"/>
  <c r="G25" i="3" s="1"/>
  <c r="H13" i="4"/>
  <c r="G10" i="4"/>
  <c r="G13" i="4"/>
  <c r="F10" i="4"/>
  <c r="F13" i="4"/>
  <c r="D11" i="3"/>
  <c r="D13" i="3"/>
  <c r="C11" i="3"/>
  <c r="C13" i="3"/>
  <c r="G7" i="3"/>
  <c r="E9" i="3"/>
  <c r="D11" i="6"/>
  <c r="C9" i="6"/>
  <c r="G24" i="3" s="1"/>
  <c r="D9" i="6"/>
  <c r="E9" i="6"/>
  <c r="F9" i="6"/>
  <c r="G9" i="6"/>
  <c r="D10" i="7"/>
  <c r="C11" i="7"/>
  <c r="F35" i="9" l="1"/>
  <c r="C18" i="10" s="1"/>
  <c r="F36" i="9"/>
  <c r="F34" i="9"/>
  <c r="F33" i="9"/>
  <c r="D18" i="10" s="1"/>
  <c r="F32" i="9"/>
  <c r="G35" i="9"/>
  <c r="G36" i="9"/>
  <c r="G33" i="9"/>
  <c r="G32" i="9"/>
  <c r="G34" i="9"/>
  <c r="G19" i="7"/>
  <c r="G12" i="7"/>
  <c r="F12" i="7"/>
  <c r="E12" i="7"/>
  <c r="D12" i="7"/>
  <c r="C12" i="7"/>
  <c r="C13" i="7" s="1"/>
  <c r="F10" i="10"/>
  <c r="H7" i="3"/>
  <c r="G9" i="3"/>
  <c r="E11" i="3"/>
  <c r="E12" i="3" s="1"/>
  <c r="E13" i="3"/>
  <c r="E11" i="6"/>
  <c r="E10" i="7"/>
  <c r="D11" i="7"/>
  <c r="D12" i="3"/>
  <c r="E17" i="10"/>
  <c r="E18" i="10"/>
  <c r="F18" i="10" l="1"/>
  <c r="C10" i="8"/>
  <c r="C11" i="8"/>
  <c r="C12" i="8"/>
  <c r="C13" i="8"/>
  <c r="C14" i="8"/>
  <c r="C8" i="8"/>
  <c r="C9" i="8"/>
  <c r="I7" i="3"/>
  <c r="H9" i="3"/>
  <c r="G11" i="3"/>
  <c r="G13" i="3"/>
  <c r="F11" i="6"/>
  <c r="F10" i="7"/>
  <c r="E11" i="7"/>
  <c r="E13" i="7" s="1"/>
  <c r="D13" i="7"/>
  <c r="C21" i="8" l="1"/>
  <c r="C22" i="8"/>
  <c r="C23" i="8"/>
  <c r="C24" i="8"/>
  <c r="C25" i="8"/>
  <c r="C19" i="8"/>
  <c r="C20" i="8"/>
  <c r="J7" i="3"/>
  <c r="I9" i="3"/>
  <c r="H11" i="3"/>
  <c r="H13" i="3"/>
  <c r="G12" i="3"/>
  <c r="C8" i="6" s="1"/>
  <c r="G14" i="3"/>
  <c r="C7" i="6"/>
  <c r="G11" i="6"/>
  <c r="G10" i="7"/>
  <c r="F11" i="7"/>
  <c r="F13" i="7" s="1"/>
  <c r="K7" i="3" l="1"/>
  <c r="K9" i="3" s="1"/>
  <c r="J9" i="3"/>
  <c r="I11" i="3"/>
  <c r="I13" i="3" s="1"/>
  <c r="H12" i="3"/>
  <c r="D8" i="6" s="1"/>
  <c r="D7" i="6"/>
  <c r="G15" i="3"/>
  <c r="C8" i="7" s="1"/>
  <c r="G21" i="3"/>
  <c r="G22" i="3" s="1"/>
  <c r="C29" i="6"/>
  <c r="C10" i="6"/>
  <c r="C12" i="6" s="1"/>
  <c r="C19" i="6"/>
  <c r="C26" i="6" s="1"/>
  <c r="D25" i="6" s="1"/>
  <c r="C27" i="6"/>
  <c r="C20" i="6" s="1"/>
  <c r="G11" i="7"/>
  <c r="G13" i="7" s="1"/>
  <c r="G21" i="7"/>
  <c r="K11" i="3" l="1"/>
  <c r="K13" i="3"/>
  <c r="J11" i="3"/>
  <c r="J13" i="3" s="1"/>
  <c r="I12" i="3"/>
  <c r="E8" i="6" s="1"/>
  <c r="E7" i="6"/>
  <c r="D29" i="6"/>
  <c r="D10" i="6"/>
  <c r="D12" i="6" s="1"/>
  <c r="D19" i="6"/>
  <c r="D26" i="6" s="1"/>
  <c r="E25" i="6" s="1"/>
  <c r="D27" i="6"/>
  <c r="D20" i="6" s="1"/>
  <c r="C13" i="6"/>
  <c r="C14" i="6"/>
  <c r="C15" i="6" s="1"/>
  <c r="C24" i="6"/>
  <c r="D18" i="6"/>
  <c r="K12" i="3" l="1"/>
  <c r="G8" i="6" s="1"/>
  <c r="G7" i="6"/>
  <c r="J12" i="3"/>
  <c r="F8" i="6" s="1"/>
  <c r="F7" i="6"/>
  <c r="E29" i="6"/>
  <c r="E10" i="6"/>
  <c r="E12" i="6" s="1"/>
  <c r="E19" i="6"/>
  <c r="E27" i="6"/>
  <c r="E20" i="6" s="1"/>
  <c r="D13" i="6"/>
  <c r="D14" i="6"/>
  <c r="D15" i="6"/>
  <c r="D24" i="6"/>
  <c r="C16" i="6"/>
  <c r="C21" i="6"/>
  <c r="E18" i="6"/>
  <c r="E26" i="6" l="1"/>
  <c r="F25" i="6" s="1"/>
  <c r="F18" i="6" s="1"/>
  <c r="G29" i="6"/>
  <c r="G10" i="6"/>
  <c r="G12" i="6" s="1"/>
  <c r="G19" i="6"/>
  <c r="G27" i="6"/>
  <c r="F29" i="6"/>
  <c r="F10" i="6"/>
  <c r="F12" i="6" s="1"/>
  <c r="F19" i="6"/>
  <c r="F27" i="6"/>
  <c r="F20" i="6" s="1"/>
  <c r="E13" i="6"/>
  <c r="E14" i="6"/>
  <c r="E15" i="6" s="1"/>
  <c r="E24" i="6"/>
  <c r="D16" i="6"/>
  <c r="D21" i="6"/>
  <c r="C22" i="6"/>
  <c r="C23" i="6"/>
  <c r="C7" i="7"/>
  <c r="C9" i="7" s="1"/>
  <c r="F26" i="6" l="1"/>
  <c r="G25" i="6" s="1"/>
  <c r="G13" i="6"/>
  <c r="G14" i="6"/>
  <c r="G15" i="6"/>
  <c r="F13" i="6"/>
  <c r="F14" i="6"/>
  <c r="F15" i="6" s="1"/>
  <c r="F24" i="6"/>
  <c r="E16" i="6"/>
  <c r="E21" i="6"/>
  <c r="G38" i="7"/>
  <c r="G28" i="9"/>
  <c r="D22" i="6"/>
  <c r="D23" i="6"/>
  <c r="D7" i="7"/>
  <c r="D9" i="7" s="1"/>
  <c r="C14" i="7"/>
  <c r="G18" i="6"/>
  <c r="G20" i="6"/>
  <c r="G24" i="6" l="1"/>
  <c r="G26" i="6"/>
  <c r="G16" i="6"/>
  <c r="G21" i="6"/>
  <c r="F16" i="6"/>
  <c r="F21" i="6"/>
  <c r="E22" i="6"/>
  <c r="E23" i="6"/>
  <c r="E7" i="7"/>
  <c r="E9" i="7" s="1"/>
  <c r="H34" i="9"/>
  <c r="H32" i="9"/>
  <c r="H35" i="9"/>
  <c r="C19" i="10" s="1"/>
  <c r="H36" i="9"/>
  <c r="H33" i="9"/>
  <c r="D19" i="10" s="1"/>
  <c r="D14" i="7"/>
  <c r="E19" i="10" l="1"/>
  <c r="G22" i="6"/>
  <c r="G23" i="6"/>
  <c r="G7" i="7"/>
  <c r="F22" i="6"/>
  <c r="F23" i="6"/>
  <c r="F7" i="7"/>
  <c r="F9" i="7" s="1"/>
  <c r="E14" i="7"/>
  <c r="G27" i="9"/>
  <c r="F19" i="10"/>
  <c r="G9" i="7" l="1"/>
  <c r="G17" i="7"/>
  <c r="J11" i="8"/>
  <c r="J22" i="8" s="1"/>
  <c r="D8" i="8"/>
  <c r="D19" i="8" s="1"/>
  <c r="F14" i="7"/>
  <c r="I9" i="8"/>
  <c r="I20" i="8" s="1"/>
  <c r="D10" i="8"/>
  <c r="D21" i="8" s="1"/>
  <c r="I10" i="8"/>
  <c r="I21" i="8" s="1"/>
  <c r="J10" i="8"/>
  <c r="J21" i="8" s="1"/>
  <c r="E12" i="8"/>
  <c r="E23" i="8" s="1"/>
  <c r="H13" i="8"/>
  <c r="H24" i="8" s="1"/>
  <c r="F11" i="8"/>
  <c r="F22" i="8" s="1"/>
  <c r="F14" i="8"/>
  <c r="F25" i="8" s="1"/>
  <c r="J8" i="8"/>
  <c r="J19" i="8" s="1"/>
  <c r="J9" i="8"/>
  <c r="J20" i="8" s="1"/>
  <c r="G12" i="8"/>
  <c r="G23" i="8" s="1"/>
  <c r="H12" i="8"/>
  <c r="H23" i="8" s="1"/>
  <c r="E14" i="8"/>
  <c r="E25" i="8" s="1"/>
  <c r="G9" i="8"/>
  <c r="G20" i="8" s="1"/>
  <c r="E11" i="8"/>
  <c r="E22" i="8" s="1"/>
  <c r="G11" i="8"/>
  <c r="H9" i="8"/>
  <c r="H20" i="8" s="1"/>
  <c r="E9" i="8"/>
  <c r="E20" i="8" s="1"/>
  <c r="E10" i="8"/>
  <c r="E21" i="8" s="1"/>
  <c r="D11" i="8"/>
  <c r="D22" i="8" s="1"/>
  <c r="D12" i="8"/>
  <c r="D23" i="8" s="1"/>
  <c r="F12" i="8"/>
  <c r="F23" i="8" s="1"/>
  <c r="D13" i="8"/>
  <c r="D24" i="8" s="1"/>
  <c r="E13" i="8"/>
  <c r="E24" i="8" s="1"/>
  <c r="G8" i="8"/>
  <c r="G19" i="8" s="1"/>
  <c r="I8" i="8"/>
  <c r="I19" i="8" s="1"/>
  <c r="I13" i="8"/>
  <c r="I24" i="8" s="1"/>
  <c r="G13" i="8"/>
  <c r="G24" i="8" s="1"/>
  <c r="J13" i="8"/>
  <c r="J24" i="8" s="1"/>
  <c r="D14" i="8"/>
  <c r="D25" i="8" s="1"/>
  <c r="H14" i="8"/>
  <c r="H25" i="8" s="1"/>
  <c r="I14" i="8"/>
  <c r="I25" i="8" s="1"/>
  <c r="J14" i="8"/>
  <c r="J25" i="8" s="1"/>
  <c r="E8" i="8"/>
  <c r="E19" i="8" s="1"/>
  <c r="F8" i="8"/>
  <c r="F19" i="8" s="1"/>
  <c r="H8" i="8"/>
  <c r="H19" i="8" s="1"/>
  <c r="D9" i="8"/>
  <c r="D20" i="8" s="1"/>
  <c r="H11" i="8" l="1"/>
  <c r="H22" i="8" s="1"/>
  <c r="F13" i="8"/>
  <c r="F24" i="8" s="1"/>
  <c r="I12" i="8"/>
  <c r="I23" i="8" s="1"/>
  <c r="H10" i="8"/>
  <c r="H21" i="8" s="1"/>
  <c r="J12" i="8"/>
  <c r="J23" i="8" s="1"/>
  <c r="I11" i="8"/>
  <c r="I22" i="8" s="1"/>
  <c r="G10" i="8"/>
  <c r="G21" i="8" s="1"/>
  <c r="G14" i="8"/>
  <c r="G25" i="8" s="1"/>
  <c r="F9" i="8"/>
  <c r="F20" i="8" s="1"/>
  <c r="F10" i="8"/>
  <c r="G14" i="7"/>
  <c r="G23" i="7" s="1"/>
  <c r="G30" i="8" s="1"/>
  <c r="G31" i="8" s="1"/>
  <c r="G32" i="8" s="1"/>
  <c r="G20" i="7"/>
  <c r="G22" i="7" s="1"/>
  <c r="G34" i="8"/>
  <c r="G22" i="8"/>
  <c r="C20" i="10" l="1"/>
  <c r="E20" i="10" s="1"/>
  <c r="D20" i="10"/>
  <c r="F21" i="8"/>
  <c r="G36" i="8"/>
  <c r="F11" i="10" s="1"/>
  <c r="G33" i="8"/>
  <c r="G35" i="8" s="1"/>
  <c r="F12" i="10" s="1"/>
  <c r="G24" i="7"/>
  <c r="G29" i="7" s="1"/>
  <c r="G31" i="7" s="1"/>
  <c r="G35" i="7"/>
  <c r="F20" i="10" l="1"/>
  <c r="G27" i="8"/>
  <c r="G33" i="7"/>
  <c r="G36" i="7"/>
  <c r="F7" i="10"/>
  <c r="F8" i="10" s="1"/>
</calcChain>
</file>

<file path=xl/sharedStrings.xml><?xml version="1.0" encoding="utf-8"?>
<sst xmlns="http://schemas.openxmlformats.org/spreadsheetml/2006/main" count="458" uniqueCount="372">
  <si>
    <t>NVIDIA Corporation (Nasdaq: NVDA) – Equity Valuation Model</t>
  </si>
  <si>
    <t>Color key</t>
  </si>
  <si>
    <t>Hardcoded input</t>
  </si>
  <si>
    <t>Linked from another sheet</t>
  </si>
  <si>
    <t>Formula</t>
  </si>
  <si>
    <t>How this model is built</t>
  </si>
  <si>
    <t>1. Same structure as the A10, Rithm and Micron workbooks: Assumptions with a scenario manager, segment forecast, historical financials, cost of equity, operating model output, FCFE DCF, sensitivity, comps and a valuation summary.</t>
  </si>
  <si>
    <t>2. NVIDIA's fiscal year ends in late January; FY'27 ends 1/31/2027. Q2 FY27 (ended 7/26/2026) is the latest reported quarter: revenue $96.2B (+106%), operating margin 66%. Q3 guidance is $108B.</t>
  </si>
  <si>
    <t>3. Revenue is forecast by NVIDIA's new market platforms: Hyperscale and ACIE (together Data Center) and Edge Computing. FY'27E = H1 actual + an H2 estimate calibrated to the Q3 guide. FY'28E has its own growth by segment; FY'29E–FY'31E apply one growth path to every segment.</t>
  </si>
  <si>
    <t>4. Unlike Micron, NVIDIA only reports profit for two reporting segments that don't match the market platforms, so margins are modeled at the company level: gross margin moves in a straight line from FY'27E to an FY'31E target, and operating expenses grow at a set rate.</t>
  </si>
  <si>
    <t>5. Cash flow = net operating profit after tax + D&amp;A − capex − increase in working capital. Stock-based compensation is treated as a real cost (NVIDIA itself stopped excluding it from non-GAAP results in FY'27).</t>
  </si>
  <si>
    <t>6. Debt ($33.4B) is about 0.6% of market value, so operating cash flow is discounted at the cost of equity and the balance sheet is settled separately: + cash and debt securities, + marketable equity stakes, + private (non-marketable) investments less an optional haircut, − debt. Investment gains and interest income are excluded from the forecast to avoid counting those assets twice.</t>
  </si>
  <si>
    <t>7. The balance sheet is as of 7/26/2026, so FY'27E counts only H2 (Aug–Jan) cash flow, discounted from the valuation date. The terminal value is discounted from the end of FY'31.</t>
  </si>
  <si>
    <t>8. Not deducted: up to $108.5B of guarantees for partners' data center leases (incl. $105B for SB Energy/OpenAI in Ohio), $279B of supply commitments, and $25B of committed equity investments. These are contingent or will run through future cash flow.</t>
  </si>
  <si>
    <t>9. Cost of equity: peer-implied (1 / forward P/E + long-run growth), CAPM, or their average (the default). Switch with Assumptions!D62. Scenario: Assumptions!D20 (1 = Base, 2 = Conservative, 3 = Bullish).</t>
  </si>
  <si>
    <t>10. Sources: NVIDIA Q2 FY27 press release and CFO commentary (8-K, 8/26/2026), Q1 FY27 and Q4 FY26 CFO commentaries, SEC EDGAR XBRL (10-K FY2022–FY2026); Yahoo Finance (prices, 10-year Treasury); Finviz (beta, consensus forward P/E, peer multiples). Prices as of 10/1/2026 intraday.</t>
  </si>
  <si>
    <t>NVIDIA Corporation – Assumptions</t>
  </si>
  <si>
    <t>($ in millions, except per-share data)</t>
  </si>
  <si>
    <t>General</t>
  </si>
  <si>
    <t>Valuation date</t>
  </si>
  <si>
    <t>Pricing date</t>
  </si>
  <si>
    <t>Ticker</t>
  </si>
  <si>
    <t>NVDA</t>
  </si>
  <si>
    <t>Nasdaq</t>
  </si>
  <si>
    <t>Current share price</t>
  </si>
  <si>
    <t>Yahoo Finance, 10/1/2026 intraday</t>
  </si>
  <si>
    <t>Diluted shares (mm)</t>
  </si>
  <si>
    <t>Q2 FY27 diluted weighted-average shares</t>
  </si>
  <si>
    <t>Cash &amp; marketable debt securities</t>
  </si>
  <si>
    <t>7/26/2026</t>
  </si>
  <si>
    <t>Marketable equity securities (fair value)</t>
  </si>
  <si>
    <t>Public stakes; marked to market each quarter</t>
  </si>
  <si>
    <t>Non-marketable equity investments (carrying value)</t>
  </si>
  <si>
    <t>Private AI-company stakes (model makers, AI clouds)</t>
  </si>
  <si>
    <t>Total debt</t>
  </si>
  <si>
    <t>Incl. $25B of notes issued in August 2026</t>
  </si>
  <si>
    <t>Fiscal year end, FY27</t>
  </si>
  <si>
    <t>Last Sunday in January</t>
  </si>
  <si>
    <t>Time from valuation date to FY27 year end (years)</t>
  </si>
  <si>
    <t>Discount period for FY'27E H2 cash flow</t>
  </si>
  <si>
    <t>Mid-year convention (1 = on, 0 = off)</t>
  </si>
  <si>
    <t>Cash flows assumed to arrive mid-period</t>
  </si>
  <si>
    <t>Scenario Manager</t>
  </si>
  <si>
    <t>Scenario</t>
  </si>
  <si>
    <t>Active</t>
  </si>
  <si>
    <t>Base</t>
  </si>
  <si>
    <t>Conservative</t>
  </si>
  <si>
    <t>Bullish</t>
  </si>
  <si>
    <t>Active scenario (1 = Base, 2 = Conservative, 3 = Bullish)</t>
  </si>
  <si>
    <t>Scenario description</t>
  </si>
  <si>
    <t>H2 FY'27E Revenue vs. H1 FY'27 Actual (growth)</t>
  </si>
  <si>
    <t>Hyperscale</t>
  </si>
  <si>
    <t>Q2 FY27 grew 13% q/q; Vera Rubin ramping in H2</t>
  </si>
  <si>
    <t>AI Clouds, Industrial &amp; Enterprise (ACIE)</t>
  </si>
  <si>
    <t>Fastest-growing: AI natives, sovereigns, AI clouds (+25% q/q in Q2)</t>
  </si>
  <si>
    <t>Edge Computing</t>
  </si>
  <si>
    <t>PCs slowed by memory prices; workstations strong</t>
  </si>
  <si>
    <t>FY'28E Revenue Growth by Segment</t>
  </si>
  <si>
    <t>Consensus FY28 EPS (+70%) implies ~65% total revenue growth; Base is below that</t>
  </si>
  <si>
    <t>Revenue Growth FY29E–FY31E (applied to every segment)</t>
  </si>
  <si>
    <t>FY'29E</t>
  </si>
  <si>
    <t>Conservative: AI-capex digestion year (customers pause to absorb capacity)</t>
  </si>
  <si>
    <t>FY'30E</t>
  </si>
  <si>
    <t>Supply commitments drop from $88B (FY29) to $6B (FY30) as of today</t>
  </si>
  <si>
    <t>FY'31E</t>
  </si>
  <si>
    <t>Mature growth year used for the terminal value</t>
  </si>
  <si>
    <t>Margins, Costs &amp; Cash Flow</t>
  </si>
  <si>
    <t>Gross margin – FY'27E</t>
  </si>
  <si>
    <t>H1 FY27 75.0%; Q3 guide 74.0% ±0.5 pts</t>
  </si>
  <si>
    <t>Gross margin – FY'31E target (straight-line path)</t>
  </si>
  <si>
    <t>Pressure from custom ASICs (Google TPU, AWS Trainium), AMD and rack-scale mix; FY2025 was 75%, FY2023 57%</t>
  </si>
  <si>
    <t>Q4 FY'27E operating expenses ($mm)</t>
  </si>
  <si>
    <t>Q3 guide $9.2B GAAP; Q2 actual $8.4B</t>
  </si>
  <si>
    <t>Operating expense growth, FY'28E–FY'31E (per year)</t>
  </si>
  <si>
    <t>FY2026 opex +41%, H1 FY27 +53% y/y</t>
  </si>
  <si>
    <t>Tax rate</t>
  </si>
  <si>
    <t>FY27 guidance 16–18%</t>
  </si>
  <si>
    <t>D&amp;A as % of beginning net PP&amp;E</t>
  </si>
  <si>
    <t>H1 FY27 D&amp;A $2.1B (annualized $4.2B) on $10.4B beginning PP&amp;E; includes intangible amortization</t>
  </si>
  <si>
    <t>Capex as % of revenue – FY'27E</t>
  </si>
  <si>
    <t>H1 FY27 2.5%; FY2026 2.8%</t>
  </si>
  <si>
    <t>Capex as % of revenue – FY'31E (straight-line path)</t>
  </si>
  <si>
    <t>Rising own data-center and R&amp;D compute build</t>
  </si>
  <si>
    <t>Net working capital as % of revenue</t>
  </si>
  <si>
    <t>Jan 2026 14.8%; Jul 2026 14.6% of annualized Q2 revenue (DSO up to 60 days on extended terms)</t>
  </si>
  <si>
    <t>Long-run (terminal) growth rate</t>
  </si>
  <si>
    <t>Applied to FY'31E cash flow</t>
  </si>
  <si>
    <t>Haircut on non-marketable investments</t>
  </si>
  <si>
    <t>Private AI stakes carried at cost or last round; Conservative assumes a 25% write-down</t>
  </si>
  <si>
    <t>Cost of Equity Inputs</t>
  </si>
  <si>
    <t>Risk-free rate (10-year Treasury)</t>
  </si>
  <si>
    <t>Yahoo Finance ^TNX, 10/1/2026</t>
  </si>
  <si>
    <t>NVDA beta</t>
  </si>
  <si>
    <t>Finviz (5-year monthly vs. S&amp;P 500)</t>
  </si>
  <si>
    <t>Equity risk premium</t>
  </si>
  <si>
    <t>Assumption (same as the Micron and RITM models)</t>
  </si>
  <si>
    <t>Peer long-run growth (for implied k)</t>
  </si>
  <si>
    <t>Added to each peer earnings yield (1 / forward P/E)</t>
  </si>
  <si>
    <t>DCF Settings</t>
  </si>
  <si>
    <t>Sensitivity step – cost of equity</t>
  </si>
  <si>
    <t>Sensitivity step – terminal growth</t>
  </si>
  <si>
    <t>Cost of equity method (1 = Peer implied, 2 = CAPM, 3 = Average)</t>
  </si>
  <si>
    <t>Peer-implied k runs low because AI semis trade on rapidly rising forward earnings; CAPM runs high on a 2.22 beta. The default averages the two.</t>
  </si>
  <si>
    <t>NVIDIA Corporation – Segment Forecast</t>
  </si>
  <si>
    <t>Revenue by Market Platform ($mm)</t>
  </si>
  <si>
    <t>FY2025</t>
  </si>
  <si>
    <t>FY2026</t>
  </si>
  <si>
    <t>H1 FY27</t>
  </si>
  <si>
    <t>FY'27E</t>
  </si>
  <si>
    <t>FY'28E</t>
  </si>
  <si>
    <t xml:space="preserve">   Hyperscale</t>
  </si>
  <si>
    <t>FY'27E = H1 actual × (2 + H2 growth). FY'28E has segment growth; FY'29E–FY'31E use the common path.</t>
  </si>
  <si>
    <t xml:space="preserve">   AI Clouds, Industrial &amp; Enterprise (ACIE)</t>
  </si>
  <si>
    <t>Data Center</t>
  </si>
  <si>
    <t>Total revenue</t>
  </si>
  <si>
    <t xml:space="preserve">   YoY growth</t>
  </si>
  <si>
    <t>H1 FY27 growth is vs. H1 FY26.</t>
  </si>
  <si>
    <t xml:space="preserve">   Data Center share of revenue</t>
  </si>
  <si>
    <t>H2 FY'27E revenue (FY'27E − H1 actual)</t>
  </si>
  <si>
    <t>H2 share of FY'27E (share of FY'27 cash flow counted)</t>
  </si>
  <si>
    <t>Calibration Check: H2 FY'27E vs. Q3 FY'27 Guidance (8/26/2026)</t>
  </si>
  <si>
    <t>Q2 FY27 revenue (actual)</t>
  </si>
  <si>
    <t>Q3 FY27 revenue guidance (midpoint)</t>
  </si>
  <si>
    <t>Q3 guide growth vs. Q2</t>
  </si>
  <si>
    <t>Implied Q4 FY27 revenue (H2 forecast − Q3 guide)</t>
  </si>
  <si>
    <t>Implied Q4 growth vs. Q3</t>
  </si>
  <si>
    <t>Base: Q4 up ~9% on Q3, slower than the 18% q/q growth in Q2. Bullish assumes Rubin pushes Q4 to ~$132B.</t>
  </si>
  <si>
    <t>Q3 FY27 gross margin guidance</t>
  </si>
  <si>
    <t>FY'27E gross margin (forecast)</t>
  </si>
  <si>
    <t>H1 FY27 actual gross margin</t>
  </si>
  <si>
    <t>Q3 FY27 GAAP operating expense guidance</t>
  </si>
  <si>
    <t>NVIDIA Corporation – Historical Financials</t>
  </si>
  <si>
    <t>Income Statement and Cash Flow (fiscal years end late January)</t>
  </si>
  <si>
    <t>FY2022</t>
  </si>
  <si>
    <t>FY2023</t>
  </si>
  <si>
    <t>FY2024</t>
  </si>
  <si>
    <t>H1 FY26</t>
  </si>
  <si>
    <t>TTM Jul-26</t>
  </si>
  <si>
    <t>Revenue</t>
  </si>
  <si>
    <t>Cost of revenue</t>
  </si>
  <si>
    <t>Gross profit</t>
  </si>
  <si>
    <t xml:space="preserve">   Gross margin %</t>
  </si>
  <si>
    <t>Research &amp; development</t>
  </si>
  <si>
    <t>Sales, general &amp; administrative</t>
  </si>
  <si>
    <t>Other operating charges</t>
  </si>
  <si>
    <t>FY2023: $1.35B Arm acquisition termination cost.</t>
  </si>
  <si>
    <t>Operating income (GAAP)</t>
  </si>
  <si>
    <t xml:space="preserve">   Operating margin %</t>
  </si>
  <si>
    <t>Other income, net (incl. investment gains)</t>
  </si>
  <si>
    <t>H1 FY27 includes $23.7B of equity-investment gains; excluded from the forecast.</t>
  </si>
  <si>
    <t>Income before tax</t>
  </si>
  <si>
    <t>Income tax expense</t>
  </si>
  <si>
    <t xml:space="preserve">   Effective tax rate</t>
  </si>
  <si>
    <t>Net income (GAAP)</t>
  </si>
  <si>
    <t>Diluted shares (mm, split-adjusted)</t>
  </si>
  <si>
    <t>Adjusted for the 10-for-1 split (June 2024) and 4-for-1 split (July 2021).</t>
  </si>
  <si>
    <t>Diluted EPS (computed)</t>
  </si>
  <si>
    <t>Depreciation &amp; amortization</t>
  </si>
  <si>
    <t>Stock-based compensation</t>
  </si>
  <si>
    <t>Cash from operations</t>
  </si>
  <si>
    <t>Capex (property, equipment &amp; intangibles)</t>
  </si>
  <si>
    <t>Free cash flow</t>
  </si>
  <si>
    <t>Ties to the release: H1 FY27 FCF $69.9B (release also deducts $92mm of finance-lease principal).</t>
  </si>
  <si>
    <t xml:space="preserve">   Capex % of revenue</t>
  </si>
  <si>
    <t>FY2026 D&amp;A ÷ Jan 2025 net PP&amp;E ($6,283mm).</t>
  </si>
  <si>
    <t xml:space="preserve">   SBC % of revenue</t>
  </si>
  <si>
    <t>Balance Sheet</t>
  </si>
  <si>
    <t>Jan 25, 2026</t>
  </si>
  <si>
    <t>Jul 26, 2026</t>
  </si>
  <si>
    <t>Cash &amp; equivalents</t>
  </si>
  <si>
    <t>Marketable debt securities</t>
  </si>
  <si>
    <t>(Jan 2025 net PP&amp;E, for D&amp;A rate)</t>
  </si>
  <si>
    <t>CFO commentary: $56.6B at Q2 FY27.</t>
  </si>
  <si>
    <t>Marketable equity securities</t>
  </si>
  <si>
    <t>Non-marketable equity securities</t>
  </si>
  <si>
    <t>Doubled in H1 FY27: stakes in AI model makers and AI-infrastructure financiers.</t>
  </si>
  <si>
    <t>Accounts receivable</t>
  </si>
  <si>
    <t>Inventories</t>
  </si>
  <si>
    <t>Prepaid &amp; other current assets</t>
  </si>
  <si>
    <t>Accounts payable</t>
  </si>
  <si>
    <t>Accrued &amp; other current liabilities</t>
  </si>
  <si>
    <t>Operating net working capital</t>
  </si>
  <si>
    <t xml:space="preserve">   NWC % of revenue (Jul: % of Q2 revenue × 4)</t>
  </si>
  <si>
    <t>Property &amp; equipment, net</t>
  </si>
  <si>
    <t>Short-term debt</t>
  </si>
  <si>
    <t>Long-term debt</t>
  </si>
  <si>
    <t>Shareholders' equity</t>
  </si>
  <si>
    <t>Revenue by Market Platform (CFO commentaries; Hyperscale/ACIE recast in Q2 FY27)</t>
  </si>
  <si>
    <t>Q1 FY26</t>
  </si>
  <si>
    <t>Q2 FY26</t>
  </si>
  <si>
    <t>Q3 FY26</t>
  </si>
  <si>
    <t>Q4 FY26</t>
  </si>
  <si>
    <t>Q1 FY27</t>
  </si>
  <si>
    <t>Q2 FY27</t>
  </si>
  <si>
    <t>Sub-market split only disclosed on a recast basis for Q2 FY26 and FY27 quarters.</t>
  </si>
  <si>
    <t>Edge = former Gaming + Pro Visualization + Automotive + OEM. FY2025 Edge derived as total − Data Center; Q3 FY26 likewise.</t>
  </si>
  <si>
    <t>Total revenue (reported)</t>
  </si>
  <si>
    <t>Check: Data Center + Edge − total</t>
  </si>
  <si>
    <t>Check: Hyperscale + ACIE − Data Center</t>
  </si>
  <si>
    <t>NVIDIA Corporation – Cost of Equity</t>
  </si>
  <si>
    <t>Peer-Implied Cost of Equity (same method as the A10 model)</t>
  </si>
  <si>
    <t>Company</t>
  </si>
  <si>
    <t>Business</t>
  </si>
  <si>
    <t>Fwd P/E</t>
  </si>
  <si>
    <t>Beta</t>
  </si>
  <si>
    <t>Earnings yield</t>
  </si>
  <si>
    <t>Implied k</t>
  </si>
  <si>
    <t>Broadcom</t>
  </si>
  <si>
    <t>AVGO</t>
  </si>
  <si>
    <t>AI networking / custom ASICs</t>
  </si>
  <si>
    <t>Implied k = 1 ÷ forward P/E + long-run growth (Assumptions!D55).</t>
  </si>
  <si>
    <t>Advanced Micro Devices</t>
  </si>
  <si>
    <t>AMD</t>
  </si>
  <si>
    <t>GPUs / CPUs</t>
  </si>
  <si>
    <t>Caution: peers trade on fast-rising forward earnings, so earnings yields understate the true required return.</t>
  </si>
  <si>
    <t>Taiwan Semiconductor</t>
  </si>
  <si>
    <t>TSM</t>
  </si>
  <si>
    <t>Foundry (makes NVIDIA chips)</t>
  </si>
  <si>
    <t>Micron Technology</t>
  </si>
  <si>
    <t>MU</t>
  </si>
  <si>
    <t>Memory / HBM</t>
  </si>
  <si>
    <t>Marvell Technology</t>
  </si>
  <si>
    <t>MRVL</t>
  </si>
  <si>
    <t>Custom ASICs / optics</t>
  </si>
  <si>
    <t>Qualcomm</t>
  </si>
  <si>
    <t>QCOM</t>
  </si>
  <si>
    <t>Mobile / edge AI</t>
  </si>
  <si>
    <t>Median</t>
  </si>
  <si>
    <t>Mean</t>
  </si>
  <si>
    <t>CAPM</t>
  </si>
  <si>
    <t>Risk-free rate</t>
  </si>
  <si>
    <t>CAPM cost of equity</t>
  </si>
  <si>
    <t>Selected Cost of Equity</t>
  </si>
  <si>
    <t>Peer-implied (median)</t>
  </si>
  <si>
    <t>Average</t>
  </si>
  <si>
    <t>Method selected (Assumptions!D62)</t>
  </si>
  <si>
    <t>Target cost of equity (k)</t>
  </si>
  <si>
    <t>Feeds OUT-DCF. NVDA trades at 14.6x consensus FY28 EPS.</t>
  </si>
  <si>
    <t>NVIDIA Corporation – Operating Model Output</t>
  </si>
  <si>
    <t>Operating Profit and Free Cash Flow to Equity</t>
  </si>
  <si>
    <t>Gross margin %</t>
  </si>
  <si>
    <t>( – ) Operating expenses (incl. SBC)</t>
  </si>
  <si>
    <t>FY'27E = H1 actual ($16.0B) + Q3 guide ($9.2B) + Q4 assumption (Assumptions!D41).</t>
  </si>
  <si>
    <t>Operating income</t>
  </si>
  <si>
    <t xml:space="preserve">   Operating margin</t>
  </si>
  <si>
    <t>( – ) Taxes</t>
  </si>
  <si>
    <t>Net operating profit after tax</t>
  </si>
  <si>
    <t>Excludes interest income and investment gains; those assets are added to equity value in OUT-DCF.</t>
  </si>
  <si>
    <t>EPS on operating profit (diluted)</t>
  </si>
  <si>
    <t>( + ) Depreciation &amp; amortization</t>
  </si>
  <si>
    <t>( – ) Capex</t>
  </si>
  <si>
    <t>( – ) Increase in net working capital</t>
  </si>
  <si>
    <t>Full-year FY'27E change from the Jan 2026 balance ($31.9B); only the H2 share is counted in the DCF.</t>
  </si>
  <si>
    <t>Free cash flow to equity (FCFE)</t>
  </si>
  <si>
    <t>FCFE per diluted share</t>
  </si>
  <si>
    <t xml:space="preserve">   FCFE margin</t>
  </si>
  <si>
    <t>Memo: EBITDA</t>
  </si>
  <si>
    <t>Net PP&amp;E, beginning of year</t>
  </si>
  <si>
    <t>FY'27E starts from Jan 2026 net PP&amp;E ($10.4B).</t>
  </si>
  <si>
    <t>Net PP&amp;E, end of year</t>
  </si>
  <si>
    <t>Net working capital, end of year</t>
  </si>
  <si>
    <t>Capex % of revenue (path)</t>
  </si>
  <si>
    <t>Operating expenses % of revenue</t>
  </si>
  <si>
    <t>NVIDIA Corporation – Discounted Cash Flow (FCFE)</t>
  </si>
  <si>
    <t>Free Cash Flow to Equity</t>
  </si>
  <si>
    <t>FCFE (full year)</t>
  </si>
  <si>
    <t>Share of year counted</t>
  </si>
  <si>
    <t>Balance sheet is as of 7/26/2026, so only H2 FY'27E cash flow is counted.</t>
  </si>
  <si>
    <t>FCFE counted</t>
  </si>
  <si>
    <t>Year-end discount period (years)</t>
  </si>
  <si>
    <t>Discount period used</t>
  </si>
  <si>
    <t>Cost of equity (k)</t>
  </si>
  <si>
    <t>Discount factor</t>
  </si>
  <si>
    <t>Present value of FCFE</t>
  </si>
  <si>
    <t>Terminal Value and Equity Value</t>
  </si>
  <si>
    <t>Terminal-year FCFE (FY'31E)</t>
  </si>
  <si>
    <t>Long-run growth rate (g)</t>
  </si>
  <si>
    <t>Terminal value at end of FY'31</t>
  </si>
  <si>
    <t>Terminal value discounted from the end of FY'31 (not mid-year).</t>
  </si>
  <si>
    <t>Discount period (end of FY'31)</t>
  </si>
  <si>
    <t>Present value of terminal value</t>
  </si>
  <si>
    <t>Present value of FY'27 (H2)–FY'31 FCFE</t>
  </si>
  <si>
    <t>Value of operations</t>
  </si>
  <si>
    <t>( + ) Cash &amp; marketable debt securities</t>
  </si>
  <si>
    <t>( + ) Marketable equity securities</t>
  </si>
  <si>
    <t>( + ) Non-marketable investments, after haircut</t>
  </si>
  <si>
    <t>Not deducted: $108.5B of lease guarantees (contingent) and $25B of committed future investments.</t>
  </si>
  <si>
    <t>( – ) Total debt</t>
  </si>
  <si>
    <t>Equity value</t>
  </si>
  <si>
    <t>( ÷ ) Diluted shares (mm)</t>
  </si>
  <si>
    <t>Implied share price</t>
  </si>
  <si>
    <t>Scenario shown: Assumptions!D21. Change Assumptions!D20 to see Conservative / Bullish.</t>
  </si>
  <si>
    <t>Upside / (downside)</t>
  </si>
  <si>
    <t>Terminal value as % of value of operations</t>
  </si>
  <si>
    <t>Implied P/E on FY'28E operating EPS</t>
  </si>
  <si>
    <t>Current price ÷ consensus FY28 EPS</t>
  </si>
  <si>
    <t>Model FY'28E EPS ÷ consensus FY28 EPS</t>
  </si>
  <si>
    <t>NVIDIA Corporation – DCF Sensitivity</t>
  </si>
  <si>
    <t>Implied Share Price – Cost of Equity (rows) vs. Terminal Growth (columns)</t>
  </si>
  <si>
    <t>k \ g</t>
  </si>
  <si>
    <t>Upside / (Downside) vs. Current Share Price</t>
  </si>
  <si>
    <t>Check: grid center less OUT-DCF price (should be 0.00)</t>
  </si>
  <si>
    <t>What the Current Price Implies (base cost of equity)</t>
  </si>
  <si>
    <t>PV of FY'27 (H2)–FY'31 FCFE + balance-sheet items</t>
  </si>
  <si>
    <t>Terminal value (PV) needed to justify current price</t>
  </si>
  <si>
    <t>Terminal value at end of FY'31 needed</t>
  </si>
  <si>
    <t>Terminal FCFE needed at model g</t>
  </si>
  <si>
    <t>Model FY'31E FCFE</t>
  </si>
  <si>
    <t>Needed ÷ model terminal FCFE</t>
  </si>
  <si>
    <t>Market-implied terminal growth (at model FCFE)</t>
  </si>
  <si>
    <t>NVIDIA Corporation – Trading Comps</t>
  </si>
  <si>
    <t>Peer Multiples (Finviz, 10/1/2026)</t>
  </si>
  <si>
    <t>EV/EBITDA (ttm)</t>
  </si>
  <si>
    <t>EV/Sales (ttm)</t>
  </si>
  <si>
    <t>P/FCF</t>
  </si>
  <si>
    <t>Mkt cap ($bn)</t>
  </si>
  <si>
    <t>Oper. margin</t>
  </si>
  <si>
    <t>AI-semiconductor peers. Arm excluded (95x forward P/E, 265x EV/EBITDA).</t>
  </si>
  <si>
    <t>High</t>
  </si>
  <si>
    <t>75th percentile</t>
  </si>
  <si>
    <t>25th percentile</t>
  </si>
  <si>
    <t>Low</t>
  </si>
  <si>
    <t>NVIDIA (NVDA)</t>
  </si>
  <si>
    <t>NVDA Per-Share Inputs</t>
  </si>
  <si>
    <t>TTM EBITDA (operating income + D&amp;A, to Jul 2026)</t>
  </si>
  <si>
    <t>Consensus FY28 EPS (price ÷ Finviz forward P/E)</t>
  </si>
  <si>
    <t>Finviz forward P/E is on next fiscal year (FY28, ending Jan 2028).</t>
  </si>
  <si>
    <t>TTM revenue</t>
  </si>
  <si>
    <t>Net balance-sheet adjustment (OUT-DCF)</t>
  </si>
  <si>
    <t>Average model EPS, FY'27E–FY'31E</t>
  </si>
  <si>
    <t>Model FY'28E operating EPS</t>
  </si>
  <si>
    <t>Implied Share Price</t>
  </si>
  <si>
    <t>Peer multiple applied</t>
  </si>
  <si>
    <t>Fwd P/E × consensus EPS</t>
  </si>
  <si>
    <t>EV/EBITDA × TTM EBITDA</t>
  </si>
  <si>
    <t>EV/Sales × TTM revenue</t>
  </si>
  <si>
    <t>Fwd P/E × model FY28 EPS</t>
  </si>
  <si>
    <t>MU (5.1x) and AMD/MRVL (38–39x) bracket a wide range; the 25th–75th percentile is used in the football field.</t>
  </si>
  <si>
    <t>NVIDIA Corporation – Valuation Summary</t>
  </si>
  <si>
    <t>Price Target Summary</t>
  </si>
  <si>
    <t>DCF price target (active scenario)</t>
  </si>
  <si>
    <t>Cost of equity used</t>
  </si>
  <si>
    <t>Market-implied terminal growth</t>
  </si>
  <si>
    <t>Terminal FCFE the price needs ÷ model FY'31E FCFE</t>
  </si>
  <si>
    <t>Football Field ($ per share)</t>
  </si>
  <si>
    <t>Method</t>
  </si>
  <si>
    <t>Midpoint</t>
  </si>
  <si>
    <t>Spread</t>
  </si>
  <si>
    <t>52-week trading range</t>
  </si>
  <si>
    <t>Peer fwd P/E × consensus FY28 EPS (25th–75th)</t>
  </si>
  <si>
    <t>Peer EV/EBITDA × TTM EBITDA (25th–75th)</t>
  </si>
  <si>
    <t>Peer fwd P/E × model FY28 EPS (25th–75th)</t>
  </si>
  <si>
    <t>DCF – k ±1 step, g ±1 step</t>
  </si>
  <si>
    <t>DCF – Conservative to Bullish scenario</t>
  </si>
  <si>
    <t>Key Points and Risks</t>
  </si>
  <si>
    <t>• At $230, NVDA trades at 14.6x consensus FY28 EPS ($15.75). That's below most AI-semi peers (median ~19x) even though NVIDIA has the highest margins (65% operating) of the group.</t>
  </si>
  <si>
    <t>• Base case ($138, −40%): FY'27E revenue $404B (in line with the Q3 guide), FY'28E +42% (consensus implies ~+65%), then growth slows to 15%/5%/4% as AI capex matures and gross margin eases from 74.5% to 68% under ASIC competition.</t>
  </si>
  <si>
    <t>• The Bullish case roughly matches consensus (FY'28E EPS $15.46 vs. $15.75) and lands at $223, about today's price. So the market is pricing consensus growth at a ~12% cost of equity, with little margin of safety if growth disappoints.</t>
  </si>
  <si>
    <t>• Cost of equity is the biggest swing factor: at the peer-implied 8.2%, the Base case is worth $241 and Bullish $440; at CAPM's 16.4% both fall well below the price. Terminal value is 67% of operating value, so long-run assumptions matter more than for Micron.</t>
  </si>
  <si>
    <t>• Risks not in the numbers: up to $108.5B of guarantees on partners' data-center leases (incl. OpenAI in Ohio), $279B of supply commitments that would bite in a downturn, and customer concentration in a handful of hyperscalers and AI labs.</t>
  </si>
  <si>
    <t>Scenario Snapshot (values captured by switching Assumptions!D20 and recalculating)</t>
  </si>
  <si>
    <t>Metric</t>
  </si>
  <si>
    <t>FY'27E revenue</t>
  </si>
  <si>
    <t>FY'31E revenue</t>
  </si>
  <si>
    <t>FY'31E operating margin</t>
  </si>
  <si>
    <t>FY'28E EPS (operating)</t>
  </si>
  <si>
    <t>FY'31E EPS (operating)</t>
  </si>
  <si>
    <t>Terminal value % of operations</t>
  </si>
  <si>
    <t>Blue = pasted outputs; they do not update. Re-run by setting Assumptions!D20 to 1, 2 or 3.</t>
  </si>
  <si>
    <t>Price History: NVDA (daily close, Yahoo Finance)</t>
  </si>
  <si>
    <t>Date</t>
  </si>
  <si>
    <t>Close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</si>
</sst>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yyyy\-mm\-dd"/>
    <numFmt numFmtId="165" formatCode="_(\$#,##0.00_);&quot;($&quot;#,##0.00\);_(\–_)"/>
    <numFmt numFmtId="166" formatCode="_(#,##0_);\(#,##0\);_(\–_)"/>
    <numFmt numFmtId="167" formatCode="_(\$#,##0_);&quot;($&quot;#,##0\);_(\–_)"/>
    <numFmt numFmtId="168" formatCode="_(#,##0.00_);\(#,##0.00\);_(\–_)"/>
    <numFmt numFmtId="169" formatCode="_(0.0%_);\(0.0%\);_(\–_)"/>
    <numFmt numFmtId="170" formatCode="_(0.00%_);\(0.00%\);_(\–_)"/>
    <numFmt numFmtId="171" formatCode="\+0.0%;\(0.0%\);0.0%"/>
    <numFmt numFmtId="172" formatCode="0.00\x"/>
    <numFmt numFmtId="173" formatCode="0.0000"/>
    <numFmt numFmtId="174" formatCode="_(#,##0.0_);\(#,##0.0\);_(\–_)"/>
  </numFmts>
  <fonts count="8" x14ac:knownFonts="1">
    <font>
      <sz val="11"/>
      <color theme="1"/>
      <name val="Calibri"/>
      <family val="2"/>
      <charset val="1"/>
    </font>
    <font>
      <b/>
      <sz val="11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A1AE4"/>
      <name val="Arial"/>
      <family val="2"/>
    </font>
    <font>
      <sz val="8"/>
      <color rgb="FF008000"/>
      <name val="Arial"/>
      <family val="2"/>
    </font>
    <font>
      <sz val="8"/>
      <color rgb="FF000000"/>
      <name val="Arial"/>
      <family val="2"/>
    </font>
    <font>
      <i/>
      <sz val="8"/>
      <color rgb="FF595959"/>
      <name val="Arial"/>
      <family val="2"/>
    </font>
    <font>
      <b/>
      <sz val="8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336A"/>
        <bgColor rgb="FF333333"/>
      </patternFill>
    </fill>
    <fill>
      <patternFill patternType="solid">
        <fgColor rgb="FF2F5597"/>
        <bgColor rgb="FF595959"/>
      </patternFill>
    </fill>
    <fill>
      <patternFill patternType="solid">
        <fgColor rgb="FFFFFFCC"/>
        <bgColor rgb="FFFFFFFF"/>
      </patternFill>
    </fill>
    <fill>
      <patternFill patternType="solid">
        <fgColor rgb="FFDDEBF7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5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/>
    <xf numFmtId="0" fontId="0" fillId="2" borderId="0" xfId="0" applyFill="1"/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8" fontId="5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9" fontId="5" fillId="5" borderId="0" xfId="0" applyNumberFormat="1" applyFont="1" applyFill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167" fontId="5" fillId="5" borderId="0" xfId="0" applyNumberFormat="1" applyFont="1" applyFill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170" fontId="5" fillId="5" borderId="0" xfId="0" applyNumberFormat="1" applyFont="1" applyFill="1" applyAlignment="1">
      <alignment horizontal="right" vertical="center"/>
    </xf>
    <xf numFmtId="170" fontId="3" fillId="0" borderId="0" xfId="0" applyNumberFormat="1" applyFont="1" applyAlignment="1">
      <alignment horizontal="right" vertical="center"/>
    </xf>
    <xf numFmtId="168" fontId="3" fillId="0" borderId="0" xfId="0" applyNumberFormat="1" applyFont="1" applyAlignment="1">
      <alignment horizontal="right" vertical="center"/>
    </xf>
    <xf numFmtId="0" fontId="7" fillId="2" borderId="0" xfId="0" applyFont="1" applyFill="1" applyAlignment="1">
      <alignment horizontal="center" vertical="center" wrapText="1"/>
    </xf>
    <xf numFmtId="167" fontId="4" fillId="0" borderId="0" xfId="0" applyNumberFormat="1" applyFont="1"/>
    <xf numFmtId="167" fontId="5" fillId="0" borderId="0" xfId="0" applyNumberFormat="1" applyFont="1"/>
    <xf numFmtId="167" fontId="2" fillId="0" borderId="0" xfId="0" applyNumberFormat="1" applyFont="1"/>
    <xf numFmtId="167" fontId="2" fillId="0" borderId="2" xfId="0" applyNumberFormat="1" applyFont="1" applyBorder="1"/>
    <xf numFmtId="169" fontId="5" fillId="0" borderId="0" xfId="0" applyNumberFormat="1" applyFont="1"/>
    <xf numFmtId="169" fontId="2" fillId="5" borderId="0" xfId="0" applyNumberFormat="1" applyFont="1" applyFill="1"/>
    <xf numFmtId="167" fontId="3" fillId="0" borderId="0" xfId="0" applyNumberFormat="1" applyFont="1"/>
    <xf numFmtId="171" fontId="5" fillId="0" borderId="0" xfId="0" applyNumberFormat="1" applyFont="1"/>
    <xf numFmtId="171" fontId="2" fillId="5" borderId="0" xfId="0" applyNumberFormat="1" applyFont="1" applyFill="1"/>
    <xf numFmtId="169" fontId="3" fillId="0" borderId="0" xfId="0" applyNumberFormat="1" applyFont="1"/>
    <xf numFmtId="169" fontId="4" fillId="0" borderId="0" xfId="0" applyNumberFormat="1" applyFont="1"/>
    <xf numFmtId="166" fontId="3" fillId="0" borderId="0" xfId="0" applyNumberFormat="1" applyFont="1"/>
    <xf numFmtId="166" fontId="5" fillId="0" borderId="0" xfId="0" applyNumberFormat="1" applyFont="1"/>
    <xf numFmtId="165" fontId="5" fillId="0" borderId="0" xfId="0" applyNumberFormat="1" applyFont="1"/>
    <xf numFmtId="170" fontId="5" fillId="0" borderId="0" xfId="0" applyNumberFormat="1" applyFont="1"/>
    <xf numFmtId="172" fontId="4" fillId="0" borderId="0" xfId="0" applyNumberFormat="1" applyFont="1"/>
    <xf numFmtId="168" fontId="4" fillId="0" borderId="0" xfId="0" applyNumberFormat="1" applyFont="1"/>
    <xf numFmtId="168" fontId="2" fillId="0" borderId="2" xfId="0" applyNumberFormat="1" applyFont="1" applyBorder="1"/>
    <xf numFmtId="169" fontId="2" fillId="0" borderId="2" xfId="0" applyNumberFormat="1" applyFont="1" applyBorder="1"/>
    <xf numFmtId="170" fontId="4" fillId="0" borderId="0" xfId="0" applyNumberFormat="1" applyFont="1"/>
    <xf numFmtId="170" fontId="2" fillId="0" borderId="0" xfId="0" applyNumberFormat="1" applyFont="1"/>
    <xf numFmtId="1" fontId="4" fillId="0" borderId="0" xfId="0" applyNumberFormat="1" applyFont="1"/>
    <xf numFmtId="170" fontId="2" fillId="4" borderId="1" xfId="0" applyNumberFormat="1" applyFont="1" applyFill="1" applyBorder="1"/>
    <xf numFmtId="165" fontId="4" fillId="0" borderId="0" xfId="0" applyNumberFormat="1" applyFont="1"/>
    <xf numFmtId="168" fontId="5" fillId="0" borderId="0" xfId="0" applyNumberFormat="1" applyFont="1"/>
    <xf numFmtId="173" fontId="5" fillId="0" borderId="0" xfId="0" applyNumberFormat="1" applyFont="1"/>
    <xf numFmtId="167" fontId="2" fillId="5" borderId="0" xfId="0" applyNumberFormat="1" applyFont="1" applyFill="1"/>
    <xf numFmtId="166" fontId="4" fillId="0" borderId="0" xfId="0" applyNumberFormat="1" applyFont="1"/>
    <xf numFmtId="165" fontId="2" fillId="4" borderId="1" xfId="0" applyNumberFormat="1" applyFont="1" applyFill="1" applyBorder="1"/>
    <xf numFmtId="0" fontId="7" fillId="2" borderId="0" xfId="0" applyFont="1" applyFill="1" applyAlignment="1">
      <alignment horizontal="center"/>
    </xf>
    <xf numFmtId="170" fontId="7" fillId="3" borderId="0" xfId="0" applyNumberFormat="1" applyFont="1" applyFill="1" applyAlignment="1">
      <alignment horizontal="center" vertical="center"/>
    </xf>
    <xf numFmtId="170" fontId="7" fillId="2" borderId="0" xfId="0" applyNumberFormat="1" applyFont="1" applyFill="1" applyAlignment="1">
      <alignment horizontal="center" vertical="center"/>
    </xf>
    <xf numFmtId="171" fontId="2" fillId="4" borderId="1" xfId="0" applyNumberFormat="1" applyFont="1" applyFill="1" applyBorder="1"/>
    <xf numFmtId="172" fontId="2" fillId="5" borderId="0" xfId="0" applyNumberFormat="1" applyFont="1" applyFill="1"/>
    <xf numFmtId="172" fontId="3" fillId="0" borderId="0" xfId="0" applyNumberFormat="1" applyFont="1"/>
    <xf numFmtId="174" fontId="3" fillId="0" borderId="0" xfId="0" applyNumberFormat="1" applyFont="1"/>
    <xf numFmtId="168" fontId="3" fillId="0" borderId="0" xfId="0" applyNumberFormat="1" applyFont="1"/>
    <xf numFmtId="172" fontId="5" fillId="0" borderId="0" xfId="0" applyNumberFormat="1" applyFont="1"/>
    <xf numFmtId="172" fontId="2" fillId="0" borderId="0" xfId="0" applyNumberFormat="1" applyFont="1"/>
    <xf numFmtId="0" fontId="2" fillId="5" borderId="2" xfId="0" applyFont="1" applyFill="1" applyBorder="1"/>
    <xf numFmtId="0" fontId="0" fillId="5" borderId="2" xfId="0" applyFill="1" applyBorder="1"/>
    <xf numFmtId="172" fontId="3" fillId="5" borderId="2" xfId="0" applyNumberFormat="1" applyFont="1" applyFill="1" applyBorder="1"/>
    <xf numFmtId="174" fontId="3" fillId="5" borderId="2" xfId="0" applyNumberFormat="1" applyFont="1" applyFill="1" applyBorder="1"/>
    <xf numFmtId="168" fontId="3" fillId="5" borderId="2" xfId="0" applyNumberFormat="1" applyFont="1" applyFill="1" applyBorder="1"/>
    <xf numFmtId="169" fontId="3" fillId="5" borderId="2" xfId="0" applyNumberFormat="1" applyFont="1" applyFill="1" applyBorder="1"/>
    <xf numFmtId="165" fontId="2" fillId="0" borderId="0" xfId="0" applyNumberFormat="1" applyFont="1"/>
    <xf numFmtId="165" fontId="4" fillId="0" borderId="0" xfId="0" applyNumberFormat="1" applyFont="1" applyAlignment="1">
      <alignment horizontal="right" vertical="center"/>
    </xf>
    <xf numFmtId="171" fontId="2" fillId="5" borderId="0" xfId="0" applyNumberFormat="1" applyFont="1" applyFill="1" applyAlignment="1">
      <alignment horizontal="right" vertical="center"/>
    </xf>
    <xf numFmtId="49" fontId="4" fillId="0" borderId="0" xfId="0" applyNumberFormat="1" applyFont="1" applyAlignment="1">
      <alignment horizontal="right" vertical="center"/>
    </xf>
    <xf numFmtId="170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2" fontId="4" fillId="0" borderId="0" xfId="0" applyNumberFormat="1" applyFont="1" applyAlignment="1">
      <alignment horizontal="right" vertical="center"/>
    </xf>
    <xf numFmtId="165" fontId="3" fillId="0" borderId="0" xfId="0" applyNumberFormat="1" applyFont="1"/>
    <xf numFmtId="171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4"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A1AE4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78787"/>
      <rgbColor rgb="FF00336A"/>
      <rgbColor rgb="FF339966"/>
      <rgbColor rgb="FF003300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NVDA valuation range ($ per share)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'Valuation Summary'!$C$15</c:f>
              <c:strCache>
                <c:ptCount val="1"/>
                <c:pt idx="0">
                  <c:v>Low</c:v>
                </c:pt>
              </c:strCache>
            </c:strRef>
          </c:tx>
          <c:spPr>
            <a:noFill/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'Valuation Summary'!$B$16:$B$22</c:f>
              <c:strCache>
                <c:ptCount val="7"/>
                <c:pt idx="0">
                  <c:v>52-week trading range</c:v>
                </c:pt>
                <c:pt idx="1">
                  <c:v>Peer fwd P/E × consensus FY28 EPS (25th–75th)</c:v>
                </c:pt>
                <c:pt idx="2">
                  <c:v>Peer EV/EBITDA × TTM EBITDA (25th–75th)</c:v>
                </c:pt>
                <c:pt idx="3">
                  <c:v>Peer fwd P/E × model FY28 EPS (25th–75th)</c:v>
                </c:pt>
                <c:pt idx="4">
                  <c:v>DCF – k ±1 step, g ±1 step</c:v>
                </c:pt>
                <c:pt idx="5">
                  <c:v>DCF – Conservative to Bullish scenario</c:v>
                </c:pt>
                <c:pt idx="6">
                  <c:v>Current share price ($229.57)</c:v>
                </c:pt>
              </c:strCache>
            </c:strRef>
          </c:cat>
          <c:val>
            <c:numRef>
              <c:f>'Valuation Summary'!$C$16:$C$22</c:f>
              <c:numCache>
                <c:formatCode>_(\$#,##0_);"($"#,##0\);_(\–_)</c:formatCode>
                <c:ptCount val="7"/>
                <c:pt idx="0">
                  <c:v>165.17</c:v>
                </c:pt>
                <c:pt idx="1">
                  <c:v>284.01021090534982</c:v>
                </c:pt>
                <c:pt idx="2">
                  <c:v>155.4527300802965</c:v>
                </c:pt>
                <c:pt idx="3">
                  <c:v>229.88734535138011</c:v>
                </c:pt>
                <c:pt idx="4">
                  <c:v>123.49288301930707</c:v>
                </c:pt>
                <c:pt idx="5">
                  <c:v>66.962431432072705</c:v>
                </c:pt>
                <c:pt idx="6">
                  <c:v>228.57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94-9742-876B-6BF4286EAC57}"/>
            </c:ext>
          </c:extLst>
        </c:ser>
        <c:ser>
          <c:idx val="1"/>
          <c:order val="1"/>
          <c:tx>
            <c:strRef>
              <c:f>'Valuation Summary'!$F$15</c:f>
              <c:strCache>
                <c:ptCount val="1"/>
                <c:pt idx="0">
                  <c:v>Spread</c:v>
                </c:pt>
              </c:strCache>
            </c:strRef>
          </c:tx>
          <c:spPr>
            <a:solidFill>
              <a:srgbClr val="00336A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'Valuation Summary'!$B$16:$B$22</c:f>
              <c:strCache>
                <c:ptCount val="7"/>
                <c:pt idx="0">
                  <c:v>52-week trading range</c:v>
                </c:pt>
                <c:pt idx="1">
                  <c:v>Peer fwd P/E × consensus FY28 EPS (25th–75th)</c:v>
                </c:pt>
                <c:pt idx="2">
                  <c:v>Peer EV/EBITDA × TTM EBITDA (25th–75th)</c:v>
                </c:pt>
                <c:pt idx="3">
                  <c:v>Peer fwd P/E × model FY28 EPS (25th–75th)</c:v>
                </c:pt>
                <c:pt idx="4">
                  <c:v>DCF – k ±1 step, g ±1 step</c:v>
                </c:pt>
                <c:pt idx="5">
                  <c:v>DCF – Conservative to Bullish scenario</c:v>
                </c:pt>
                <c:pt idx="6">
                  <c:v>Current share price ($229.57)</c:v>
                </c:pt>
              </c:strCache>
            </c:strRef>
          </c:cat>
          <c:val>
            <c:numRef>
              <c:f>'Valuation Summary'!$F$16:$F$22</c:f>
              <c:numCache>
                <c:formatCode>_(\$#,##0_);"($"#,##0\);_(\–_)</c:formatCode>
                <c:ptCount val="7"/>
                <c:pt idx="0">
                  <c:v>70.570000000000022</c:v>
                </c:pt>
                <c:pt idx="1">
                  <c:v>250.03920438957471</c:v>
                </c:pt>
                <c:pt idx="2">
                  <c:v>425.77890673255081</c:v>
                </c:pt>
                <c:pt idx="3">
                  <c:v>202.39007867941316</c:v>
                </c:pt>
                <c:pt idx="4">
                  <c:v>33.699242013788222</c:v>
                </c:pt>
                <c:pt idx="5">
                  <c:v>156.03716664964628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94-9742-876B-6BF4286EA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7701724"/>
        <c:axId val="74370551"/>
      </c:barChart>
      <c:catAx>
        <c:axId val="177017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74370551"/>
        <c:crosses val="autoZero"/>
        <c:auto val="1"/>
        <c:lblAlgn val="ctr"/>
        <c:lblOffset val="100"/>
        <c:noMultiLvlLbl val="0"/>
      </c:catAx>
      <c:valAx>
        <c:axId val="74370551"/>
        <c:scaling>
          <c:orientation val="minMax"/>
          <c:max val="650"/>
          <c:min val="0"/>
        </c:scaling>
        <c:delete val="0"/>
        <c:axPos val="t"/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7701724"/>
        <c:crosses val="autoZero"/>
        <c:crossBetween val="between"/>
        <c:majorUnit val="100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0</xdr:rowOff>
    </xdr:from>
    <xdr:to>
      <xdr:col>7</xdr:col>
      <xdr:colOff>715320</xdr:colOff>
      <xdr:row>39</xdr:row>
      <xdr:rowOff>21960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9"/>
  <sheetViews>
    <sheetView showGridLines="0" tabSelected="1" zoomScaleNormal="100" workbookViewId="0"/>
  </sheetViews>
  <sheetFormatPr baseColWidth="10" defaultColWidth="8.6640625" defaultRowHeight="15" x14ac:dyDescent="0.2"/>
  <cols>
    <col min="1" max="1" width="2" customWidth="1"/>
    <col min="2" max="2" width="30" customWidth="1"/>
    <col min="3" max="3" width="70" customWidth="1"/>
  </cols>
  <sheetData>
    <row r="2" spans="2:3" x14ac:dyDescent="0.2">
      <c r="B2" s="2" t="s">
        <v>0</v>
      </c>
    </row>
    <row r="4" spans="2:3" x14ac:dyDescent="0.2">
      <c r="B4" s="3" t="s">
        <v>1</v>
      </c>
    </row>
    <row r="5" spans="2:3" x14ac:dyDescent="0.2">
      <c r="B5" s="4" t="s">
        <v>2</v>
      </c>
    </row>
    <row r="6" spans="2:3" x14ac:dyDescent="0.2">
      <c r="B6" s="5" t="s">
        <v>3</v>
      </c>
    </row>
    <row r="7" spans="2:3" x14ac:dyDescent="0.2">
      <c r="B7" s="6" t="s">
        <v>4</v>
      </c>
    </row>
    <row r="9" spans="2:3" x14ac:dyDescent="0.2">
      <c r="B9" s="3" t="s">
        <v>5</v>
      </c>
    </row>
    <row r="10" spans="2:3" ht="45.75" customHeight="1" x14ac:dyDescent="0.2">
      <c r="B10" s="1" t="s">
        <v>6</v>
      </c>
      <c r="C10" s="1"/>
    </row>
    <row r="11" spans="2:3" ht="45.75" customHeight="1" x14ac:dyDescent="0.2">
      <c r="B11" s="1" t="s">
        <v>7</v>
      </c>
      <c r="C11" s="1"/>
    </row>
    <row r="12" spans="2:3" ht="45.75" customHeight="1" x14ac:dyDescent="0.2">
      <c r="B12" s="1" t="s">
        <v>8</v>
      </c>
      <c r="C12" s="1"/>
    </row>
    <row r="13" spans="2:3" ht="45.75" customHeight="1" x14ac:dyDescent="0.2">
      <c r="B13" s="1" t="s">
        <v>9</v>
      </c>
      <c r="C13" s="1"/>
    </row>
    <row r="14" spans="2:3" ht="45.75" customHeight="1" x14ac:dyDescent="0.2">
      <c r="B14" s="1" t="s">
        <v>10</v>
      </c>
      <c r="C14" s="1"/>
    </row>
    <row r="15" spans="2:3" ht="45.75" customHeight="1" x14ac:dyDescent="0.2">
      <c r="B15" s="1" t="s">
        <v>11</v>
      </c>
      <c r="C15" s="1"/>
    </row>
    <row r="16" spans="2:3" ht="45.75" customHeight="1" x14ac:dyDescent="0.2">
      <c r="B16" s="1" t="s">
        <v>12</v>
      </c>
      <c r="C16" s="1"/>
    </row>
    <row r="17" spans="2:3" ht="45.75" customHeight="1" x14ac:dyDescent="0.2">
      <c r="B17" s="1" t="s">
        <v>13</v>
      </c>
      <c r="C17" s="1"/>
    </row>
    <row r="18" spans="2:3" ht="45.75" customHeight="1" x14ac:dyDescent="0.2">
      <c r="B18" s="1" t="s">
        <v>14</v>
      </c>
      <c r="C18" s="1"/>
    </row>
    <row r="19" spans="2:3" ht="45.75" customHeight="1" x14ac:dyDescent="0.2">
      <c r="B19" s="1" t="s">
        <v>15</v>
      </c>
      <c r="C19" s="1"/>
    </row>
  </sheetData>
  <mergeCells count="10"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62"/>
  <sheetViews>
    <sheetView showGridLines="0" topLeftCell="A15" zoomScaleNormal="100" workbookViewId="0">
      <selection activeCell="D28" sqref="D28"/>
    </sheetView>
  </sheetViews>
  <sheetFormatPr baseColWidth="10" defaultColWidth="8.6640625" defaultRowHeight="15" x14ac:dyDescent="0.2"/>
  <cols>
    <col min="1" max="1" width="2" customWidth="1"/>
    <col min="2" max="2" width="50" customWidth="1"/>
    <col min="3" max="3" width="2" customWidth="1"/>
    <col min="4" max="4" width="12" customWidth="1"/>
    <col min="5" max="5" width="2" customWidth="1"/>
    <col min="6" max="8" width="12" customWidth="1"/>
    <col min="9" max="9" width="2" customWidth="1"/>
    <col min="10" max="10" width="72" customWidth="1"/>
  </cols>
  <sheetData>
    <row r="2" spans="2:10" x14ac:dyDescent="0.2">
      <c r="B2" s="2" t="s">
        <v>16</v>
      </c>
    </row>
    <row r="3" spans="2:10" x14ac:dyDescent="0.2">
      <c r="B3" s="7" t="s">
        <v>17</v>
      </c>
    </row>
    <row r="5" spans="2:10" x14ac:dyDescent="0.2">
      <c r="B5" s="8" t="s">
        <v>18</v>
      </c>
      <c r="C5" s="9"/>
      <c r="D5" s="9"/>
      <c r="E5" s="9"/>
      <c r="F5" s="9"/>
      <c r="G5" s="9"/>
      <c r="H5" s="9"/>
      <c r="I5" s="9"/>
      <c r="J5" s="9"/>
    </row>
    <row r="6" spans="2:10" x14ac:dyDescent="0.2">
      <c r="B6" s="6" t="s">
        <v>19</v>
      </c>
      <c r="D6" s="10">
        <v>46296</v>
      </c>
      <c r="J6" s="7" t="s">
        <v>20</v>
      </c>
    </row>
    <row r="7" spans="2:10" x14ac:dyDescent="0.2">
      <c r="B7" s="6" t="s">
        <v>21</v>
      </c>
      <c r="D7" s="11" t="s">
        <v>22</v>
      </c>
      <c r="J7" s="7" t="s">
        <v>23</v>
      </c>
    </row>
    <row r="8" spans="2:10" x14ac:dyDescent="0.2">
      <c r="B8" s="6" t="s">
        <v>24</v>
      </c>
      <c r="D8" s="12">
        <v>229.57</v>
      </c>
      <c r="J8" s="7" t="s">
        <v>25</v>
      </c>
    </row>
    <row r="9" spans="2:10" x14ac:dyDescent="0.2">
      <c r="B9" s="6" t="s">
        <v>26</v>
      </c>
      <c r="D9" s="13">
        <v>24285</v>
      </c>
      <c r="J9" s="7" t="s">
        <v>27</v>
      </c>
    </row>
    <row r="10" spans="2:10" x14ac:dyDescent="0.2">
      <c r="B10" s="6" t="s">
        <v>28</v>
      </c>
      <c r="D10" s="14">
        <f>'Historical Financials'!H39</f>
        <v>56586</v>
      </c>
      <c r="J10" s="7" t="s">
        <v>29</v>
      </c>
    </row>
    <row r="11" spans="2:10" x14ac:dyDescent="0.2">
      <c r="B11" s="6" t="s">
        <v>30</v>
      </c>
      <c r="D11" s="14">
        <f>'Historical Financials'!H40</f>
        <v>42783</v>
      </c>
      <c r="J11" s="7" t="s">
        <v>31</v>
      </c>
    </row>
    <row r="12" spans="2:10" x14ac:dyDescent="0.2">
      <c r="B12" s="6" t="s">
        <v>32</v>
      </c>
      <c r="D12" s="14">
        <f>'Historical Financials'!H41</f>
        <v>51157</v>
      </c>
      <c r="J12" s="7" t="s">
        <v>33</v>
      </c>
    </row>
    <row r="13" spans="2:10" x14ac:dyDescent="0.2">
      <c r="B13" s="6" t="s">
        <v>34</v>
      </c>
      <c r="D13" s="14">
        <f>'Historical Financials'!H52</f>
        <v>33366</v>
      </c>
      <c r="J13" s="7" t="s">
        <v>35</v>
      </c>
    </row>
    <row r="14" spans="2:10" x14ac:dyDescent="0.2">
      <c r="B14" s="6" t="s">
        <v>36</v>
      </c>
      <c r="D14" s="10">
        <v>46418</v>
      </c>
      <c r="J14" s="7" t="s">
        <v>37</v>
      </c>
    </row>
    <row r="15" spans="2:10" x14ac:dyDescent="0.2">
      <c r="B15" s="6" t="s">
        <v>38</v>
      </c>
      <c r="D15" s="15">
        <f>YEARFRAC(D6,D14,1)</f>
        <v>0.33424657534246577</v>
      </c>
      <c r="J15" s="7" t="s">
        <v>39</v>
      </c>
    </row>
    <row r="16" spans="2:10" x14ac:dyDescent="0.2">
      <c r="B16" s="6" t="s">
        <v>40</v>
      </c>
      <c r="D16" s="16">
        <v>1</v>
      </c>
      <c r="J16" s="7" t="s">
        <v>41</v>
      </c>
    </row>
    <row r="18" spans="2:10" x14ac:dyDescent="0.2">
      <c r="B18" s="8" t="s">
        <v>42</v>
      </c>
      <c r="C18" s="9"/>
      <c r="D18" s="9"/>
      <c r="E18" s="9"/>
      <c r="F18" s="9"/>
      <c r="G18" s="9"/>
      <c r="H18" s="9"/>
      <c r="I18" s="9"/>
      <c r="J18" s="9"/>
    </row>
    <row r="19" spans="2:10" x14ac:dyDescent="0.2">
      <c r="B19" t="s">
        <v>43</v>
      </c>
      <c r="D19" s="3" t="s">
        <v>44</v>
      </c>
      <c r="F19" s="17" t="s">
        <v>45</v>
      </c>
      <c r="G19" s="17" t="s">
        <v>46</v>
      </c>
      <c r="H19" s="17" t="s">
        <v>47</v>
      </c>
    </row>
    <row r="20" spans="2:10" x14ac:dyDescent="0.2">
      <c r="B20" s="6" t="s">
        <v>48</v>
      </c>
      <c r="D20" s="18">
        <v>1</v>
      </c>
    </row>
    <row r="21" spans="2:10" x14ac:dyDescent="0.2">
      <c r="B21" s="6" t="s">
        <v>49</v>
      </c>
      <c r="D21" s="19" t="str">
        <f>CHOOSE($D$20,F19,G19,H19)</f>
        <v>Base</v>
      </c>
    </row>
    <row r="23" spans="2:10" x14ac:dyDescent="0.2">
      <c r="B23" s="8" t="s">
        <v>50</v>
      </c>
      <c r="C23" s="9"/>
      <c r="D23" s="9"/>
      <c r="E23" s="9"/>
      <c r="F23" s="9"/>
      <c r="G23" s="9"/>
      <c r="H23" s="9"/>
      <c r="I23" s="9"/>
      <c r="J23" s="9"/>
    </row>
    <row r="24" spans="2:10" x14ac:dyDescent="0.2">
      <c r="B24" s="6" t="s">
        <v>51</v>
      </c>
      <c r="D24" s="20">
        <f>CHOOSE($D$20,F24,G24,H24)</f>
        <v>0.25</v>
      </c>
      <c r="F24" s="21">
        <v>0.25</v>
      </c>
      <c r="G24" s="21">
        <v>0.17</v>
      </c>
      <c r="H24" s="21">
        <v>0.32</v>
      </c>
      <c r="J24" s="7" t="s">
        <v>52</v>
      </c>
    </row>
    <row r="25" spans="2:10" x14ac:dyDescent="0.2">
      <c r="B25" s="6" t="s">
        <v>53</v>
      </c>
      <c r="D25" s="20">
        <f>CHOOSE($D$20,F25,G25,H25)</f>
        <v>0.32</v>
      </c>
      <c r="F25" s="21">
        <v>0.32</v>
      </c>
      <c r="G25" s="21">
        <v>0.23</v>
      </c>
      <c r="H25" s="21">
        <v>0.42</v>
      </c>
      <c r="J25" s="7" t="s">
        <v>54</v>
      </c>
    </row>
    <row r="26" spans="2:10" x14ac:dyDescent="0.2">
      <c r="B26" s="6" t="s">
        <v>55</v>
      </c>
      <c r="D26" s="20">
        <f>CHOOSE($D$20,F26,G26,H26)</f>
        <v>0.15</v>
      </c>
      <c r="F26" s="21">
        <v>0.15</v>
      </c>
      <c r="G26" s="21">
        <v>0.08</v>
      </c>
      <c r="H26" s="21">
        <v>0.2</v>
      </c>
      <c r="J26" s="7" t="s">
        <v>56</v>
      </c>
    </row>
    <row r="28" spans="2:10" x14ac:dyDescent="0.2">
      <c r="B28" s="8" t="s">
        <v>57</v>
      </c>
      <c r="C28" s="9"/>
      <c r="D28" s="9"/>
      <c r="E28" s="9"/>
      <c r="F28" s="9"/>
      <c r="G28" s="9"/>
      <c r="H28" s="9"/>
      <c r="I28" s="9"/>
      <c r="J28" s="9"/>
    </row>
    <row r="29" spans="2:10" x14ac:dyDescent="0.2">
      <c r="B29" s="6" t="s">
        <v>51</v>
      </c>
      <c r="D29" s="20">
        <f>CHOOSE($D$20,F29,G29,H29)</f>
        <v>0.35</v>
      </c>
      <c r="F29" s="21">
        <v>0.35</v>
      </c>
      <c r="G29" s="21">
        <v>0.15</v>
      </c>
      <c r="H29" s="21">
        <v>0.5</v>
      </c>
      <c r="J29" s="7" t="s">
        <v>58</v>
      </c>
    </row>
    <row r="30" spans="2:10" x14ac:dyDescent="0.2">
      <c r="B30" s="6" t="s">
        <v>53</v>
      </c>
      <c r="D30" s="20">
        <f>CHOOSE($D$20,F30,G30,H30)</f>
        <v>0.55000000000000004</v>
      </c>
      <c r="F30" s="21">
        <v>0.55000000000000004</v>
      </c>
      <c r="G30" s="21">
        <v>0.2</v>
      </c>
      <c r="H30" s="21">
        <v>0.75</v>
      </c>
    </row>
    <row r="31" spans="2:10" x14ac:dyDescent="0.2">
      <c r="B31" s="6" t="s">
        <v>55</v>
      </c>
      <c r="D31" s="20">
        <f>CHOOSE($D$20,F31,G31,H31)</f>
        <v>0.12</v>
      </c>
      <c r="F31" s="21">
        <v>0.12</v>
      </c>
      <c r="G31" s="21">
        <v>0.05</v>
      </c>
      <c r="H31" s="21">
        <v>0.2</v>
      </c>
    </row>
    <row r="33" spans="2:10" x14ac:dyDescent="0.2">
      <c r="B33" s="8" t="s">
        <v>59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6" t="s">
        <v>60</v>
      </c>
      <c r="D34" s="20">
        <f>CHOOSE($D$20,F34,G34,H34)</f>
        <v>0.15</v>
      </c>
      <c r="F34" s="21">
        <v>0.15</v>
      </c>
      <c r="G34" s="21">
        <v>-0.15</v>
      </c>
      <c r="H34" s="21">
        <v>0.25</v>
      </c>
      <c r="J34" s="7" t="s">
        <v>61</v>
      </c>
    </row>
    <row r="35" spans="2:10" x14ac:dyDescent="0.2">
      <c r="B35" s="6" t="s">
        <v>62</v>
      </c>
      <c r="D35" s="20">
        <f>CHOOSE($D$20,F35,G35,H35)</f>
        <v>0.05</v>
      </c>
      <c r="F35" s="21">
        <v>0.05</v>
      </c>
      <c r="G35" s="21">
        <v>-0.05</v>
      </c>
      <c r="H35" s="21">
        <v>0.12</v>
      </c>
      <c r="J35" s="7" t="s">
        <v>63</v>
      </c>
    </row>
    <row r="36" spans="2:10" x14ac:dyDescent="0.2">
      <c r="B36" s="6" t="s">
        <v>64</v>
      </c>
      <c r="D36" s="20">
        <f>CHOOSE($D$20,F36,G36,H36)</f>
        <v>0.04</v>
      </c>
      <c r="F36" s="21">
        <v>0.04</v>
      </c>
      <c r="G36" s="21">
        <v>0.04</v>
      </c>
      <c r="H36" s="21">
        <v>0.08</v>
      </c>
      <c r="J36" s="7" t="s">
        <v>65</v>
      </c>
    </row>
    <row r="38" spans="2:10" x14ac:dyDescent="0.2">
      <c r="B38" s="8" t="s">
        <v>66</v>
      </c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6" t="s">
        <v>67</v>
      </c>
      <c r="D39" s="20">
        <f t="shared" ref="D39:D49" si="0">CHOOSE($D$20,F39,G39,H39)</f>
        <v>0.745</v>
      </c>
      <c r="F39" s="21">
        <v>0.745</v>
      </c>
      <c r="G39" s="21">
        <v>0.74</v>
      </c>
      <c r="H39" s="21">
        <v>0.75</v>
      </c>
      <c r="J39" s="7" t="s">
        <v>68</v>
      </c>
    </row>
    <row r="40" spans="2:10" x14ac:dyDescent="0.2">
      <c r="B40" s="6" t="s">
        <v>69</v>
      </c>
      <c r="D40" s="20">
        <f t="shared" si="0"/>
        <v>0.68</v>
      </c>
      <c r="F40" s="21">
        <v>0.68</v>
      </c>
      <c r="G40" s="21">
        <v>0.6</v>
      </c>
      <c r="H40" s="21">
        <v>0.73</v>
      </c>
      <c r="J40" s="7" t="s">
        <v>70</v>
      </c>
    </row>
    <row r="41" spans="2:10" x14ac:dyDescent="0.2">
      <c r="B41" s="6" t="s">
        <v>71</v>
      </c>
      <c r="D41" s="22">
        <f t="shared" si="0"/>
        <v>10000</v>
      </c>
      <c r="F41" s="23">
        <v>10000</v>
      </c>
      <c r="G41" s="23">
        <v>9600</v>
      </c>
      <c r="H41" s="23">
        <v>10500</v>
      </c>
      <c r="J41" s="7" t="s">
        <v>72</v>
      </c>
    </row>
    <row r="42" spans="2:10" x14ac:dyDescent="0.2">
      <c r="B42" s="6" t="s">
        <v>73</v>
      </c>
      <c r="D42" s="20">
        <f t="shared" si="0"/>
        <v>0.25</v>
      </c>
      <c r="F42" s="21">
        <v>0.25</v>
      </c>
      <c r="G42" s="21">
        <v>0.1</v>
      </c>
      <c r="H42" s="21">
        <v>0.3</v>
      </c>
      <c r="J42" s="7" t="s">
        <v>74</v>
      </c>
    </row>
    <row r="43" spans="2:10" x14ac:dyDescent="0.2">
      <c r="B43" s="6" t="s">
        <v>75</v>
      </c>
      <c r="D43" s="20">
        <f t="shared" si="0"/>
        <v>0.17</v>
      </c>
      <c r="F43" s="21">
        <v>0.17</v>
      </c>
      <c r="G43" s="21">
        <v>0.18</v>
      </c>
      <c r="H43" s="21">
        <v>0.16</v>
      </c>
      <c r="J43" s="7" t="s">
        <v>76</v>
      </c>
    </row>
    <row r="44" spans="2:10" x14ac:dyDescent="0.2">
      <c r="B44" s="6" t="s">
        <v>77</v>
      </c>
      <c r="D44" s="20">
        <f t="shared" si="0"/>
        <v>0.4</v>
      </c>
      <c r="F44" s="21">
        <v>0.4</v>
      </c>
      <c r="G44" s="21">
        <v>0.4</v>
      </c>
      <c r="H44" s="21">
        <v>0.4</v>
      </c>
      <c r="J44" s="7" t="s">
        <v>78</v>
      </c>
    </row>
    <row r="45" spans="2:10" x14ac:dyDescent="0.2">
      <c r="B45" s="6" t="s">
        <v>79</v>
      </c>
      <c r="D45" s="24">
        <f t="shared" si="0"/>
        <v>2.5000000000000001E-2</v>
      </c>
      <c r="F45" s="25">
        <v>2.5000000000000001E-2</v>
      </c>
      <c r="G45" s="25">
        <v>2.5000000000000001E-2</v>
      </c>
      <c r="H45" s="25">
        <v>2.3E-2</v>
      </c>
      <c r="J45" s="7" t="s">
        <v>80</v>
      </c>
    </row>
    <row r="46" spans="2:10" x14ac:dyDescent="0.2">
      <c r="B46" s="6" t="s">
        <v>81</v>
      </c>
      <c r="D46" s="24">
        <f t="shared" si="0"/>
        <v>0.03</v>
      </c>
      <c r="F46" s="25">
        <v>0.03</v>
      </c>
      <c r="G46" s="25">
        <v>3.5000000000000003E-2</v>
      </c>
      <c r="H46" s="25">
        <v>2.8000000000000001E-2</v>
      </c>
      <c r="J46" s="7" t="s">
        <v>82</v>
      </c>
    </row>
    <row r="47" spans="2:10" x14ac:dyDescent="0.2">
      <c r="B47" s="6" t="s">
        <v>83</v>
      </c>
      <c r="D47" s="20">
        <f t="shared" si="0"/>
        <v>0.15</v>
      </c>
      <c r="F47" s="21">
        <v>0.15</v>
      </c>
      <c r="G47" s="21">
        <v>0.17</v>
      </c>
      <c r="H47" s="21">
        <v>0.14000000000000001</v>
      </c>
      <c r="J47" s="7" t="s">
        <v>84</v>
      </c>
    </row>
    <row r="48" spans="2:10" x14ac:dyDescent="0.2">
      <c r="B48" s="6" t="s">
        <v>85</v>
      </c>
      <c r="D48" s="20">
        <f t="shared" si="0"/>
        <v>0.03</v>
      </c>
      <c r="F48" s="21">
        <v>0.03</v>
      </c>
      <c r="G48" s="21">
        <v>2.5000000000000001E-2</v>
      </c>
      <c r="H48" s="21">
        <v>0.04</v>
      </c>
      <c r="J48" s="7" t="s">
        <v>86</v>
      </c>
    </row>
    <row r="49" spans="2:10" x14ac:dyDescent="0.2">
      <c r="B49" s="6" t="s">
        <v>87</v>
      </c>
      <c r="D49" s="20">
        <f t="shared" si="0"/>
        <v>0</v>
      </c>
      <c r="F49" s="21">
        <v>0</v>
      </c>
      <c r="G49" s="21">
        <v>0.25</v>
      </c>
      <c r="H49" s="21">
        <v>0</v>
      </c>
      <c r="J49" s="7" t="s">
        <v>88</v>
      </c>
    </row>
    <row r="51" spans="2:10" x14ac:dyDescent="0.2">
      <c r="B51" s="8" t="s">
        <v>89</v>
      </c>
      <c r="C51" s="9"/>
      <c r="D51" s="9"/>
      <c r="E51" s="9"/>
      <c r="F51" s="9"/>
      <c r="G51" s="9"/>
      <c r="H51" s="9"/>
      <c r="I51" s="9"/>
      <c r="J51" s="9"/>
    </row>
    <row r="52" spans="2:10" x14ac:dyDescent="0.2">
      <c r="B52" s="6" t="s">
        <v>90</v>
      </c>
      <c r="D52" s="25">
        <v>5.2929999999999998E-2</v>
      </c>
      <c r="J52" s="7" t="s">
        <v>91</v>
      </c>
    </row>
    <row r="53" spans="2:10" x14ac:dyDescent="0.2">
      <c r="B53" s="6" t="s">
        <v>92</v>
      </c>
      <c r="D53" s="26">
        <v>2.2200000000000002</v>
      </c>
      <c r="J53" s="7" t="s">
        <v>93</v>
      </c>
    </row>
    <row r="54" spans="2:10" x14ac:dyDescent="0.2">
      <c r="B54" s="6" t="s">
        <v>94</v>
      </c>
      <c r="D54" s="21">
        <v>0.05</v>
      </c>
      <c r="J54" s="7" t="s">
        <v>95</v>
      </c>
    </row>
    <row r="55" spans="2:10" x14ac:dyDescent="0.2">
      <c r="B55" s="6" t="s">
        <v>96</v>
      </c>
      <c r="D55" s="21">
        <v>0.03</v>
      </c>
      <c r="J55" s="7" t="s">
        <v>97</v>
      </c>
    </row>
    <row r="57" spans="2:10" x14ac:dyDescent="0.2">
      <c r="B57" s="8" t="s">
        <v>98</v>
      </c>
      <c r="C57" s="9"/>
      <c r="D57" s="9"/>
      <c r="E57" s="9"/>
      <c r="F57" s="9"/>
      <c r="G57" s="9"/>
      <c r="H57" s="9"/>
      <c r="I57" s="9"/>
      <c r="J57" s="9"/>
    </row>
    <row r="58" spans="2:10" x14ac:dyDescent="0.2">
      <c r="B58" s="6" t="s">
        <v>99</v>
      </c>
      <c r="D58" s="21">
        <v>0.01</v>
      </c>
    </row>
    <row r="59" spans="2:10" x14ac:dyDescent="0.2">
      <c r="B59" s="6" t="s">
        <v>100</v>
      </c>
      <c r="D59" s="25">
        <v>2.5000000000000001E-3</v>
      </c>
    </row>
    <row r="62" spans="2:10" x14ac:dyDescent="0.2">
      <c r="B62" s="6" t="s">
        <v>101</v>
      </c>
      <c r="D62" s="18">
        <v>3</v>
      </c>
      <c r="J62" s="7" t="s">
        <v>102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M26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8.6640625" defaultRowHeight="15" x14ac:dyDescent="0.2"/>
  <cols>
    <col min="1" max="1" width="2" customWidth="1"/>
    <col min="2" max="2" width="44" customWidth="1"/>
    <col min="3" max="5" width="11" customWidth="1"/>
    <col min="6" max="6" width="2" customWidth="1"/>
    <col min="7" max="11" width="11" customWidth="1"/>
    <col min="12" max="12" width="2" customWidth="1"/>
    <col min="13" max="13" width="62" customWidth="1"/>
  </cols>
  <sheetData>
    <row r="2" spans="2:13" x14ac:dyDescent="0.2">
      <c r="B2" s="2" t="s">
        <v>103</v>
      </c>
    </row>
    <row r="3" spans="2:13" x14ac:dyDescent="0.2">
      <c r="B3" s="7" t="s">
        <v>17</v>
      </c>
    </row>
    <row r="5" spans="2:13" x14ac:dyDescent="0.2">
      <c r="B5" s="8" t="s">
        <v>104</v>
      </c>
      <c r="C5" s="9"/>
      <c r="D5" s="9"/>
      <c r="E5" s="9"/>
      <c r="F5" s="9"/>
      <c r="G5" s="9"/>
      <c r="H5" s="9"/>
      <c r="I5" s="9"/>
      <c r="J5" s="9"/>
      <c r="K5" s="9"/>
    </row>
    <row r="6" spans="2:13" x14ac:dyDescent="0.2">
      <c r="C6" s="17" t="s">
        <v>105</v>
      </c>
      <c r="D6" s="17" t="s">
        <v>106</v>
      </c>
      <c r="E6" s="17" t="s">
        <v>107</v>
      </c>
      <c r="G6" s="27" t="s">
        <v>108</v>
      </c>
      <c r="H6" s="27" t="s">
        <v>109</v>
      </c>
      <c r="I6" s="27" t="s">
        <v>60</v>
      </c>
      <c r="J6" s="27" t="s">
        <v>62</v>
      </c>
      <c r="K6" s="27" t="s">
        <v>64</v>
      </c>
    </row>
    <row r="7" spans="2:13" x14ac:dyDescent="0.2">
      <c r="B7" s="6" t="s">
        <v>110</v>
      </c>
      <c r="E7" s="28">
        <f>'Historical Financials'!H57+'Historical Financials'!I57</f>
        <v>91760</v>
      </c>
      <c r="G7" s="29">
        <f>E7*(2+Assumptions!$D$24)</f>
        <v>206460</v>
      </c>
      <c r="H7" s="29">
        <f>G7*(1+Assumptions!$D$29)</f>
        <v>278721</v>
      </c>
      <c r="I7" s="29">
        <f>H7*(1+Assumptions!$D$34)</f>
        <v>320529.14999999997</v>
      </c>
      <c r="J7" s="29">
        <f>I7*(1+Assumptions!$D$35)</f>
        <v>336555.60749999998</v>
      </c>
      <c r="K7" s="29">
        <f>J7*(1+Assumptions!$D$36)</f>
        <v>350017.83179999999</v>
      </c>
      <c r="M7" s="7" t="s">
        <v>111</v>
      </c>
    </row>
    <row r="8" spans="2:13" x14ac:dyDescent="0.2">
      <c r="B8" s="6" t="s">
        <v>112</v>
      </c>
      <c r="E8" s="28">
        <f>'Historical Financials'!H58+'Historical Financials'!I58</f>
        <v>72509</v>
      </c>
      <c r="G8" s="29">
        <f>E8*(2+Assumptions!$D$25)</f>
        <v>168220.87999999998</v>
      </c>
      <c r="H8" s="29">
        <f>G8*(1+Assumptions!$D$30)</f>
        <v>260742.36399999997</v>
      </c>
      <c r="I8" s="29">
        <f>H8*(1+Assumptions!$D$34)</f>
        <v>299853.71859999996</v>
      </c>
      <c r="J8" s="29">
        <f>I8*(1+Assumptions!$D$35)</f>
        <v>314846.40453</v>
      </c>
      <c r="K8" s="29">
        <f>J8*(1+Assumptions!$D$36)</f>
        <v>327440.26071120001</v>
      </c>
    </row>
    <row r="9" spans="2:13" x14ac:dyDescent="0.2">
      <c r="B9" s="3" t="s">
        <v>113</v>
      </c>
      <c r="C9" s="28">
        <f>'Historical Financials'!C59</f>
        <v>115186</v>
      </c>
      <c r="D9" s="28">
        <f>SUM('Historical Financials'!D59:G59)</f>
        <v>193737</v>
      </c>
      <c r="E9" s="30">
        <f>E7+E8</f>
        <v>164269</v>
      </c>
      <c r="G9" s="30">
        <f>G7+G8</f>
        <v>374680.88</v>
      </c>
      <c r="H9" s="30">
        <f>H7+H8</f>
        <v>539463.36399999994</v>
      </c>
      <c r="I9" s="30">
        <f>I7+I8</f>
        <v>620382.86859999993</v>
      </c>
      <c r="J9" s="30">
        <f>J7+J8</f>
        <v>651402.01202999998</v>
      </c>
      <c r="K9" s="30">
        <f>K7+K8</f>
        <v>677458.0925112</v>
      </c>
    </row>
    <row r="10" spans="2:13" x14ac:dyDescent="0.2">
      <c r="B10" s="6" t="s">
        <v>55</v>
      </c>
      <c r="C10" s="28">
        <f>'Historical Financials'!C60</f>
        <v>15311</v>
      </c>
      <c r="D10" s="28">
        <f>SUM('Historical Financials'!D60:G60)</f>
        <v>22201</v>
      </c>
      <c r="E10" s="28">
        <f>'Historical Financials'!H60+'Historical Financials'!I60</f>
        <v>13567</v>
      </c>
      <c r="G10" s="29">
        <f>E10*(2+Assumptions!$D$26)</f>
        <v>29169.05</v>
      </c>
      <c r="H10" s="29">
        <f>G10*(1+Assumptions!$D$31)</f>
        <v>32669.336000000003</v>
      </c>
      <c r="I10" s="29">
        <f>H10*(1+Assumptions!$D$34)</f>
        <v>37569.736400000002</v>
      </c>
      <c r="J10" s="29">
        <f>I10*(1+Assumptions!$D$35)</f>
        <v>39448.22322</v>
      </c>
      <c r="K10" s="29">
        <f>J10*(1+Assumptions!$D$36)</f>
        <v>41026.1521488</v>
      </c>
    </row>
    <row r="11" spans="2:13" x14ac:dyDescent="0.2">
      <c r="B11" s="3" t="s">
        <v>114</v>
      </c>
      <c r="C11" s="31">
        <f>C9+C10</f>
        <v>130497</v>
      </c>
      <c r="D11" s="31">
        <f>D9+D10</f>
        <v>215938</v>
      </c>
      <c r="E11" s="31">
        <f>E9+E10</f>
        <v>177836</v>
      </c>
      <c r="G11" s="31">
        <f>G9+G10</f>
        <v>403849.93</v>
      </c>
      <c r="H11" s="31">
        <f>H9+H10</f>
        <v>572132.69999999995</v>
      </c>
      <c r="I11" s="31">
        <f>I9+I10</f>
        <v>657952.60499999998</v>
      </c>
      <c r="J11" s="31">
        <f>J9+J10</f>
        <v>690850.23525000003</v>
      </c>
      <c r="K11" s="31">
        <f>K9+K10</f>
        <v>718484.24465999997</v>
      </c>
    </row>
    <row r="12" spans="2:13" x14ac:dyDescent="0.2">
      <c r="B12" s="6" t="s">
        <v>115</v>
      </c>
      <c r="D12" s="32">
        <f>D11/C11-1</f>
        <v>0.65473535790094783</v>
      </c>
      <c r="E12" s="32">
        <f>E11/'Historical Financials'!I7-1</f>
        <v>0.95843841198171909</v>
      </c>
      <c r="G12" s="32">
        <f>G11/D11-1</f>
        <v>0.87021242208411675</v>
      </c>
      <c r="H12" s="32">
        <f>H11/G11-1</f>
        <v>0.41669629607215719</v>
      </c>
      <c r="I12" s="32">
        <f>I11/H11-1</f>
        <v>0.15000000000000013</v>
      </c>
      <c r="J12" s="32">
        <f>J11/I11-1</f>
        <v>5.0000000000000044E-2</v>
      </c>
      <c r="K12" s="32">
        <f>K11/J11-1</f>
        <v>3.9999999999999813E-2</v>
      </c>
      <c r="M12" s="7" t="s">
        <v>116</v>
      </c>
    </row>
    <row r="13" spans="2:13" x14ac:dyDescent="0.2">
      <c r="B13" s="6" t="s">
        <v>117</v>
      </c>
      <c r="C13" s="32">
        <f>C9/C11</f>
        <v>0.88267163229806045</v>
      </c>
      <c r="D13" s="32">
        <f>D9/D11</f>
        <v>0.89718808176421005</v>
      </c>
      <c r="E13" s="32">
        <f>E9/E11</f>
        <v>0.92371060977529862</v>
      </c>
      <c r="G13" s="32">
        <f>G9/G11</f>
        <v>0.92777255155151328</v>
      </c>
      <c r="H13" s="32">
        <f>H9/H11</f>
        <v>0.94289902325107444</v>
      </c>
      <c r="I13" s="32">
        <f>I9/I11</f>
        <v>0.94289902325107433</v>
      </c>
      <c r="J13" s="32">
        <f>J9/J11</f>
        <v>0.94289902325107433</v>
      </c>
      <c r="K13" s="32">
        <f>K9/K11</f>
        <v>0.94289902325107444</v>
      </c>
    </row>
    <row r="14" spans="2:13" x14ac:dyDescent="0.2">
      <c r="B14" s="6" t="s">
        <v>118</v>
      </c>
      <c r="G14" s="29">
        <f>G11-E11</f>
        <v>226013.93</v>
      </c>
    </row>
    <row r="15" spans="2:13" x14ac:dyDescent="0.2">
      <c r="B15" s="3" t="s">
        <v>119</v>
      </c>
      <c r="G15" s="33">
        <f>G14/G11</f>
        <v>0.55964830797420217</v>
      </c>
    </row>
    <row r="17" spans="2:13" x14ac:dyDescent="0.2">
      <c r="B17" s="8" t="s">
        <v>120</v>
      </c>
      <c r="C17" s="9"/>
      <c r="D17" s="9"/>
      <c r="E17" s="9"/>
      <c r="F17" s="9"/>
      <c r="G17" s="9"/>
      <c r="H17" s="9"/>
      <c r="I17" s="9"/>
      <c r="J17" s="9"/>
      <c r="K17" s="9"/>
    </row>
    <row r="18" spans="2:13" x14ac:dyDescent="0.2">
      <c r="B18" s="6" t="s">
        <v>121</v>
      </c>
      <c r="G18" s="28">
        <f>'Historical Financials'!I62</f>
        <v>96221</v>
      </c>
    </row>
    <row r="19" spans="2:13" x14ac:dyDescent="0.2">
      <c r="B19" s="6" t="s">
        <v>122</v>
      </c>
      <c r="G19" s="34">
        <v>108000</v>
      </c>
    </row>
    <row r="20" spans="2:13" x14ac:dyDescent="0.2">
      <c r="B20" s="6" t="s">
        <v>123</v>
      </c>
      <c r="G20" s="35">
        <f>G19/G18-1</f>
        <v>0.12241610459255248</v>
      </c>
    </row>
    <row r="21" spans="2:13" x14ac:dyDescent="0.2">
      <c r="B21" s="6" t="s">
        <v>124</v>
      </c>
      <c r="G21" s="29">
        <f>G14-G19</f>
        <v>118013.93</v>
      </c>
    </row>
    <row r="22" spans="2:13" x14ac:dyDescent="0.2">
      <c r="B22" s="3" t="s">
        <v>125</v>
      </c>
      <c r="G22" s="36">
        <f>G21/G19-1</f>
        <v>9.2721574074074109E-2</v>
      </c>
      <c r="M22" s="7" t="s">
        <v>126</v>
      </c>
    </row>
    <row r="23" spans="2:13" x14ac:dyDescent="0.2">
      <c r="B23" s="6" t="s">
        <v>127</v>
      </c>
      <c r="G23" s="37">
        <v>0.74</v>
      </c>
    </row>
    <row r="24" spans="2:13" x14ac:dyDescent="0.2">
      <c r="B24" s="6" t="s">
        <v>128</v>
      </c>
      <c r="G24" s="38">
        <f>'Operating Model Output'!C9</f>
        <v>0.745</v>
      </c>
    </row>
    <row r="25" spans="2:13" x14ac:dyDescent="0.2">
      <c r="B25" s="6" t="s">
        <v>129</v>
      </c>
      <c r="G25" s="38">
        <f>'Historical Financials'!H10</f>
        <v>0.74955717876482397</v>
      </c>
    </row>
    <row r="26" spans="2:13" x14ac:dyDescent="0.2">
      <c r="B26" s="6" t="s">
        <v>130</v>
      </c>
      <c r="G26" s="34">
        <v>9200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64"/>
  <sheetViews>
    <sheetView showGridLines="0" zoomScale="110" zoomScaleNormal="110" workbookViewId="0">
      <selection activeCell="G10" sqref="G10"/>
    </sheetView>
  </sheetViews>
  <sheetFormatPr baseColWidth="10" defaultColWidth="8.6640625" defaultRowHeight="15" x14ac:dyDescent="0.2"/>
  <cols>
    <col min="1" max="1" width="2" customWidth="1"/>
    <col min="2" max="2" width="46" customWidth="1"/>
    <col min="3" max="10" width="11" customWidth="1"/>
    <col min="11" max="11" width="2" customWidth="1"/>
    <col min="12" max="12" width="56" customWidth="1"/>
  </cols>
  <sheetData>
    <row r="2" spans="2:12" x14ac:dyDescent="0.2">
      <c r="B2" s="2" t="s">
        <v>131</v>
      </c>
    </row>
    <row r="3" spans="2:12" x14ac:dyDescent="0.2">
      <c r="B3" s="7" t="s">
        <v>17</v>
      </c>
    </row>
    <row r="5" spans="2:12" x14ac:dyDescent="0.2">
      <c r="B5" s="8" t="s">
        <v>132</v>
      </c>
      <c r="C5" s="9"/>
      <c r="D5" s="9"/>
      <c r="E5" s="9"/>
      <c r="F5" s="9"/>
      <c r="G5" s="9"/>
      <c r="H5" s="9"/>
      <c r="I5" s="9"/>
      <c r="J5" s="9"/>
    </row>
    <row r="6" spans="2:12" x14ac:dyDescent="0.2">
      <c r="C6" s="17" t="s">
        <v>133</v>
      </c>
      <c r="D6" s="17" t="s">
        <v>134</v>
      </c>
      <c r="E6" s="17" t="s">
        <v>135</v>
      </c>
      <c r="F6" s="17" t="s">
        <v>105</v>
      </c>
      <c r="G6" s="17" t="s">
        <v>106</v>
      </c>
      <c r="H6" s="17" t="s">
        <v>107</v>
      </c>
      <c r="I6" s="17" t="s">
        <v>136</v>
      </c>
      <c r="J6" s="17" t="s">
        <v>137</v>
      </c>
    </row>
    <row r="7" spans="2:12" x14ac:dyDescent="0.2">
      <c r="B7" s="6" t="s">
        <v>138</v>
      </c>
      <c r="C7" s="34">
        <v>26914</v>
      </c>
      <c r="D7" s="34">
        <v>26974</v>
      </c>
      <c r="E7" s="34">
        <v>60922</v>
      </c>
      <c r="F7" s="34">
        <v>130497</v>
      </c>
      <c r="G7" s="34">
        <v>215938</v>
      </c>
      <c r="H7" s="34">
        <v>177837</v>
      </c>
      <c r="I7" s="34">
        <v>90805</v>
      </c>
      <c r="J7" s="29">
        <f>G7+H7-I7</f>
        <v>302970</v>
      </c>
    </row>
    <row r="8" spans="2:12" x14ac:dyDescent="0.2">
      <c r="B8" s="6" t="s">
        <v>139</v>
      </c>
      <c r="C8" s="34">
        <v>9439</v>
      </c>
      <c r="D8" s="34">
        <v>11618</v>
      </c>
      <c r="E8" s="34">
        <v>16621</v>
      </c>
      <c r="F8" s="34">
        <v>32639</v>
      </c>
      <c r="G8" s="34">
        <v>62475</v>
      </c>
      <c r="H8" s="34">
        <v>44538</v>
      </c>
      <c r="I8" s="34">
        <v>30284</v>
      </c>
      <c r="J8" s="29">
        <f>G8+H8-I8</f>
        <v>76729</v>
      </c>
    </row>
    <row r="9" spans="2:12" x14ac:dyDescent="0.2">
      <c r="B9" s="3" t="s">
        <v>140</v>
      </c>
      <c r="C9" s="30">
        <f t="shared" ref="C9:J9" si="0">C7-C8</f>
        <v>17475</v>
      </c>
      <c r="D9" s="30">
        <f t="shared" si="0"/>
        <v>15356</v>
      </c>
      <c r="E9" s="30">
        <f t="shared" si="0"/>
        <v>44301</v>
      </c>
      <c r="F9" s="30">
        <f t="shared" si="0"/>
        <v>97858</v>
      </c>
      <c r="G9" s="30">
        <f t="shared" si="0"/>
        <v>153463</v>
      </c>
      <c r="H9" s="30">
        <f t="shared" si="0"/>
        <v>133299</v>
      </c>
      <c r="I9" s="30">
        <f t="shared" si="0"/>
        <v>60521</v>
      </c>
      <c r="J9" s="30">
        <f t="shared" si="0"/>
        <v>226241</v>
      </c>
    </row>
    <row r="10" spans="2:12" x14ac:dyDescent="0.2">
      <c r="B10" s="6" t="s">
        <v>141</v>
      </c>
      <c r="C10" s="32">
        <f t="shared" ref="C10:J10" si="1">C9/C7</f>
        <v>0.64929033216913135</v>
      </c>
      <c r="D10" s="32">
        <f t="shared" si="1"/>
        <v>0.56928894490991322</v>
      </c>
      <c r="E10" s="32">
        <f t="shared" si="1"/>
        <v>0.72717573290436954</v>
      </c>
      <c r="F10" s="32">
        <f t="shared" si="1"/>
        <v>0.74988697058169917</v>
      </c>
      <c r="G10" s="32">
        <f t="shared" si="1"/>
        <v>0.71068084357547079</v>
      </c>
      <c r="H10" s="32">
        <f t="shared" si="1"/>
        <v>0.74955717876482397</v>
      </c>
      <c r="I10" s="32">
        <f t="shared" si="1"/>
        <v>0.66649413578547434</v>
      </c>
      <c r="J10" s="32">
        <f t="shared" si="1"/>
        <v>0.74674390203650531</v>
      </c>
    </row>
    <row r="11" spans="2:12" x14ac:dyDescent="0.2">
      <c r="B11" s="6" t="s">
        <v>142</v>
      </c>
      <c r="C11" s="34">
        <v>5268</v>
      </c>
      <c r="D11" s="34">
        <v>7339</v>
      </c>
      <c r="E11" s="34">
        <v>8675</v>
      </c>
      <c r="F11" s="34">
        <v>12914</v>
      </c>
      <c r="G11" s="34">
        <v>18497</v>
      </c>
      <c r="H11" s="34">
        <v>13375</v>
      </c>
      <c r="I11" s="34">
        <v>8280</v>
      </c>
      <c r="J11" s="29">
        <f>G11+H11-I11</f>
        <v>23592</v>
      </c>
    </row>
    <row r="12" spans="2:12" x14ac:dyDescent="0.2">
      <c r="B12" s="6" t="s">
        <v>143</v>
      </c>
      <c r="C12" s="34">
        <v>2166</v>
      </c>
      <c r="D12" s="34">
        <v>2440</v>
      </c>
      <c r="E12" s="34">
        <v>2654</v>
      </c>
      <c r="F12" s="34">
        <v>3491</v>
      </c>
      <c r="G12" s="34">
        <v>4579</v>
      </c>
      <c r="H12" s="34">
        <v>2654</v>
      </c>
      <c r="I12" s="34">
        <v>2163</v>
      </c>
      <c r="J12" s="29">
        <f>G12+H12-I12</f>
        <v>5070</v>
      </c>
    </row>
    <row r="13" spans="2:12" x14ac:dyDescent="0.2">
      <c r="B13" s="6" t="s">
        <v>144</v>
      </c>
      <c r="C13" s="29">
        <f t="shared" ref="C13:J13" si="2">C9-C11-C12-C14</f>
        <v>0</v>
      </c>
      <c r="D13" s="29">
        <f t="shared" si="2"/>
        <v>1353</v>
      </c>
      <c r="E13" s="29">
        <f t="shared" si="2"/>
        <v>0</v>
      </c>
      <c r="F13" s="29">
        <f t="shared" si="2"/>
        <v>0</v>
      </c>
      <c r="G13" s="29">
        <f t="shared" si="2"/>
        <v>0</v>
      </c>
      <c r="H13" s="29">
        <f t="shared" si="2"/>
        <v>0</v>
      </c>
      <c r="I13" s="29">
        <f t="shared" si="2"/>
        <v>0</v>
      </c>
      <c r="J13" s="29">
        <f t="shared" si="2"/>
        <v>0</v>
      </c>
      <c r="L13" s="7" t="s">
        <v>145</v>
      </c>
    </row>
    <row r="14" spans="2:12" x14ac:dyDescent="0.2">
      <c r="B14" s="3" t="s">
        <v>146</v>
      </c>
      <c r="C14" s="34">
        <v>10041</v>
      </c>
      <c r="D14" s="34">
        <v>4224</v>
      </c>
      <c r="E14" s="34">
        <v>32972</v>
      </c>
      <c r="F14" s="34">
        <v>81453</v>
      </c>
      <c r="G14" s="34">
        <v>130387</v>
      </c>
      <c r="H14" s="34">
        <v>117270</v>
      </c>
      <c r="I14" s="34">
        <v>50078</v>
      </c>
      <c r="J14" s="29">
        <f>G14+H14-I14</f>
        <v>197579</v>
      </c>
    </row>
    <row r="15" spans="2:12" x14ac:dyDescent="0.2">
      <c r="B15" s="6" t="s">
        <v>147</v>
      </c>
      <c r="C15" s="32">
        <f t="shared" ref="C15:J15" si="3">C14/C7</f>
        <v>0.37307720888756779</v>
      </c>
      <c r="D15" s="32">
        <f t="shared" si="3"/>
        <v>0.1565952398606065</v>
      </c>
      <c r="E15" s="32">
        <f t="shared" si="3"/>
        <v>0.54121663766783756</v>
      </c>
      <c r="F15" s="32">
        <f t="shared" si="3"/>
        <v>0.62417526839697468</v>
      </c>
      <c r="G15" s="32">
        <f t="shared" si="3"/>
        <v>0.60381683631412719</v>
      </c>
      <c r="H15" s="32">
        <f t="shared" si="3"/>
        <v>0.6594240793535654</v>
      </c>
      <c r="I15" s="32">
        <f t="shared" si="3"/>
        <v>0.55148945542646333</v>
      </c>
      <c r="J15" s="32">
        <f t="shared" si="3"/>
        <v>0.65214047595471503</v>
      </c>
    </row>
    <row r="16" spans="2:12" x14ac:dyDescent="0.2">
      <c r="B16" s="6" t="s">
        <v>148</v>
      </c>
      <c r="C16" s="34">
        <v>-100</v>
      </c>
      <c r="D16" s="34">
        <v>-43</v>
      </c>
      <c r="E16" s="34">
        <v>846</v>
      </c>
      <c r="F16" s="34">
        <v>2573</v>
      </c>
      <c r="G16" s="34">
        <v>11063</v>
      </c>
      <c r="H16" s="34">
        <v>24140</v>
      </c>
      <c r="I16" s="34">
        <v>3039</v>
      </c>
      <c r="J16" s="29">
        <f>G16+H16-I16</f>
        <v>32164</v>
      </c>
      <c r="L16" s="7" t="s">
        <v>149</v>
      </c>
    </row>
    <row r="17" spans="2:12" x14ac:dyDescent="0.2">
      <c r="B17" s="6" t="s">
        <v>150</v>
      </c>
      <c r="C17" s="29">
        <f t="shared" ref="C17:J17" si="4">C14+C16</f>
        <v>9941</v>
      </c>
      <c r="D17" s="29">
        <f t="shared" si="4"/>
        <v>4181</v>
      </c>
      <c r="E17" s="29">
        <f t="shared" si="4"/>
        <v>33818</v>
      </c>
      <c r="F17" s="29">
        <f t="shared" si="4"/>
        <v>84026</v>
      </c>
      <c r="G17" s="29">
        <f t="shared" si="4"/>
        <v>141450</v>
      </c>
      <c r="H17" s="29">
        <f t="shared" si="4"/>
        <v>141410</v>
      </c>
      <c r="I17" s="29">
        <f t="shared" si="4"/>
        <v>53117</v>
      </c>
      <c r="J17" s="29">
        <f t="shared" si="4"/>
        <v>229743</v>
      </c>
    </row>
    <row r="18" spans="2:12" x14ac:dyDescent="0.2">
      <c r="B18" s="6" t="s">
        <v>151</v>
      </c>
      <c r="C18" s="34">
        <v>189</v>
      </c>
      <c r="D18" s="34">
        <v>-187</v>
      </c>
      <c r="E18" s="34">
        <v>4058</v>
      </c>
      <c r="F18" s="34">
        <v>11146</v>
      </c>
      <c r="G18" s="34">
        <v>21383</v>
      </c>
      <c r="H18" s="34">
        <v>23400</v>
      </c>
      <c r="I18" s="34">
        <v>7920</v>
      </c>
      <c r="J18" s="29">
        <f>G18+H18-I18</f>
        <v>36863</v>
      </c>
    </row>
    <row r="19" spans="2:12" x14ac:dyDescent="0.2">
      <c r="B19" s="6" t="s">
        <v>152</v>
      </c>
      <c r="C19" s="32">
        <f t="shared" ref="C19:J19" si="5">C18/C17</f>
        <v>1.9012171813700834E-2</v>
      </c>
      <c r="D19" s="32">
        <f t="shared" si="5"/>
        <v>-4.4726142071274816E-2</v>
      </c>
      <c r="E19" s="32">
        <f t="shared" si="5"/>
        <v>0.1199952687917677</v>
      </c>
      <c r="F19" s="32">
        <f t="shared" si="5"/>
        <v>0.13264941803727417</v>
      </c>
      <c r="G19" s="32">
        <f t="shared" si="5"/>
        <v>0.15117002474372571</v>
      </c>
      <c r="H19" s="32">
        <f t="shared" si="5"/>
        <v>0.16547627466232939</v>
      </c>
      <c r="I19" s="32">
        <f t="shared" si="5"/>
        <v>0.14910480637084172</v>
      </c>
      <c r="J19" s="32">
        <f t="shared" si="5"/>
        <v>0.16045320205621064</v>
      </c>
    </row>
    <row r="20" spans="2:12" x14ac:dyDescent="0.2">
      <c r="B20" s="3" t="s">
        <v>153</v>
      </c>
      <c r="C20" s="34">
        <v>9752</v>
      </c>
      <c r="D20" s="34">
        <v>4368</v>
      </c>
      <c r="E20" s="34">
        <v>29760</v>
      </c>
      <c r="F20" s="34">
        <v>72880</v>
      </c>
      <c r="G20" s="34">
        <v>120067</v>
      </c>
      <c r="H20" s="34">
        <v>118010</v>
      </c>
      <c r="I20" s="34">
        <v>45197</v>
      </c>
      <c r="J20" s="29">
        <f>G20+H20-I20</f>
        <v>192880</v>
      </c>
    </row>
    <row r="21" spans="2:12" x14ac:dyDescent="0.2">
      <c r="B21" s="6" t="s">
        <v>154</v>
      </c>
      <c r="C21" s="39">
        <v>25350</v>
      </c>
      <c r="D21" s="39">
        <v>25070</v>
      </c>
      <c r="E21" s="39">
        <v>24940</v>
      </c>
      <c r="F21" s="39">
        <v>24804</v>
      </c>
      <c r="G21" s="39">
        <v>24514</v>
      </c>
      <c r="H21" s="39">
        <v>24338</v>
      </c>
      <c r="I21" s="39">
        <v>24571</v>
      </c>
      <c r="J21" s="40">
        <f>H21</f>
        <v>24338</v>
      </c>
      <c r="L21" s="7" t="s">
        <v>155</v>
      </c>
    </row>
    <row r="22" spans="2:12" x14ac:dyDescent="0.2">
      <c r="B22" s="6" t="s">
        <v>156</v>
      </c>
      <c r="C22" s="41">
        <f t="shared" ref="C22:J22" si="6">C20/C21</f>
        <v>0.38469428007889545</v>
      </c>
      <c r="D22" s="41">
        <f t="shared" si="6"/>
        <v>0.17423214998005584</v>
      </c>
      <c r="E22" s="41">
        <f t="shared" si="6"/>
        <v>1.1932638331996792</v>
      </c>
      <c r="F22" s="41">
        <f t="shared" si="6"/>
        <v>2.9382357684244478</v>
      </c>
      <c r="G22" s="41">
        <f t="shared" si="6"/>
        <v>4.8978950803622423</v>
      </c>
      <c r="H22" s="41">
        <f t="shared" si="6"/>
        <v>4.8487961212918069</v>
      </c>
      <c r="I22" s="41">
        <f t="shared" si="6"/>
        <v>1.8394448740385008</v>
      </c>
      <c r="J22" s="41">
        <f t="shared" si="6"/>
        <v>7.9250554688142003</v>
      </c>
    </row>
    <row r="24" spans="2:12" x14ac:dyDescent="0.2">
      <c r="B24" s="6" t="s">
        <v>157</v>
      </c>
      <c r="C24" s="34">
        <v>1174</v>
      </c>
      <c r="D24" s="34">
        <v>1544</v>
      </c>
      <c r="E24" s="34">
        <v>1508</v>
      </c>
      <c r="F24" s="34">
        <v>1864</v>
      </c>
      <c r="G24" s="34">
        <v>2843</v>
      </c>
      <c r="H24" s="34">
        <v>2124</v>
      </c>
      <c r="I24" s="34">
        <v>1280</v>
      </c>
      <c r="J24" s="29">
        <f>G24+H24-I24</f>
        <v>3687</v>
      </c>
    </row>
    <row r="25" spans="2:12" x14ac:dyDescent="0.2">
      <c r="B25" s="6" t="s">
        <v>158</v>
      </c>
      <c r="C25" s="34">
        <v>2004</v>
      </c>
      <c r="D25" s="34">
        <v>2709</v>
      </c>
      <c r="E25" s="34">
        <v>3549</v>
      </c>
      <c r="F25" s="34">
        <v>4737</v>
      </c>
      <c r="G25" s="34">
        <v>6386</v>
      </c>
      <c r="H25" s="34">
        <v>3954</v>
      </c>
      <c r="I25" s="34">
        <v>3099</v>
      </c>
      <c r="J25" s="29">
        <f>G25+H25-I25</f>
        <v>7241</v>
      </c>
    </row>
    <row r="26" spans="2:12" x14ac:dyDescent="0.2">
      <c r="B26" s="6" t="s">
        <v>159</v>
      </c>
      <c r="C26" s="34">
        <v>9108</v>
      </c>
      <c r="D26" s="34">
        <v>5641</v>
      </c>
      <c r="E26" s="34">
        <v>28090</v>
      </c>
      <c r="F26" s="34">
        <v>64089</v>
      </c>
      <c r="G26" s="34">
        <v>102718</v>
      </c>
      <c r="H26" s="34">
        <v>74421</v>
      </c>
      <c r="I26" s="34">
        <v>42779</v>
      </c>
      <c r="J26" s="29">
        <f>G26+H26-I26</f>
        <v>134360</v>
      </c>
    </row>
    <row r="27" spans="2:12" x14ac:dyDescent="0.2">
      <c r="B27" s="6" t="s">
        <v>160</v>
      </c>
      <c r="C27" s="34">
        <v>976</v>
      </c>
      <c r="D27" s="34">
        <v>1833</v>
      </c>
      <c r="E27" s="34">
        <v>1069</v>
      </c>
      <c r="F27" s="34">
        <v>3236</v>
      </c>
      <c r="G27" s="34">
        <v>6042</v>
      </c>
      <c r="H27" s="34">
        <v>4434</v>
      </c>
      <c r="I27" s="34">
        <v>3122</v>
      </c>
      <c r="J27" s="29">
        <f>G27+H27-I27</f>
        <v>7354</v>
      </c>
    </row>
    <row r="28" spans="2:12" x14ac:dyDescent="0.2">
      <c r="B28" s="3" t="s">
        <v>161</v>
      </c>
      <c r="C28" s="30">
        <f t="shared" ref="C28:J28" si="7">C26-C27</f>
        <v>8132</v>
      </c>
      <c r="D28" s="30">
        <f t="shared" si="7"/>
        <v>3808</v>
      </c>
      <c r="E28" s="30">
        <f t="shared" si="7"/>
        <v>27021</v>
      </c>
      <c r="F28" s="30">
        <f t="shared" si="7"/>
        <v>60853</v>
      </c>
      <c r="G28" s="30">
        <f t="shared" si="7"/>
        <v>96676</v>
      </c>
      <c r="H28" s="30">
        <f t="shared" si="7"/>
        <v>69987</v>
      </c>
      <c r="I28" s="30">
        <f t="shared" si="7"/>
        <v>39657</v>
      </c>
      <c r="J28" s="30">
        <f t="shared" si="7"/>
        <v>127006</v>
      </c>
      <c r="L28" s="7" t="s">
        <v>162</v>
      </c>
    </row>
    <row r="29" spans="2:12" x14ac:dyDescent="0.2">
      <c r="B29" s="6" t="s">
        <v>163</v>
      </c>
      <c r="C29" s="42">
        <f t="shared" ref="C29:J29" si="8">C27/C7</f>
        <v>3.6263654603552055E-2</v>
      </c>
      <c r="D29" s="42">
        <f t="shared" si="8"/>
        <v>6.7954326388373995E-2</v>
      </c>
      <c r="E29" s="42">
        <f t="shared" si="8"/>
        <v>1.7547027346442992E-2</v>
      </c>
      <c r="F29" s="42">
        <f t="shared" si="8"/>
        <v>2.4797504923484832E-2</v>
      </c>
      <c r="G29" s="42">
        <f t="shared" si="8"/>
        <v>2.7980253591308617E-2</v>
      </c>
      <c r="H29" s="42">
        <f t="shared" si="8"/>
        <v>2.4932944212959059E-2</v>
      </c>
      <c r="I29" s="42">
        <f t="shared" si="8"/>
        <v>3.4381366664831235E-2</v>
      </c>
      <c r="J29" s="42">
        <f t="shared" si="8"/>
        <v>2.4273030333036273E-2</v>
      </c>
    </row>
    <row r="30" spans="2:12" x14ac:dyDescent="0.2">
      <c r="B30" s="6" t="s">
        <v>77</v>
      </c>
      <c r="G30" s="32">
        <f>G24/G37</f>
        <v>0.45249084832086583</v>
      </c>
      <c r="L30" s="7" t="s">
        <v>164</v>
      </c>
    </row>
    <row r="31" spans="2:12" x14ac:dyDescent="0.2">
      <c r="B31" s="6" t="s">
        <v>165</v>
      </c>
      <c r="C31" s="32">
        <f t="shared" ref="C31:J31" si="9">C25/C7</f>
        <v>7.4459389165490081E-2</v>
      </c>
      <c r="D31" s="32">
        <f t="shared" si="9"/>
        <v>0.10043004374582931</v>
      </c>
      <c r="E31" s="32">
        <f t="shared" si="9"/>
        <v>5.8254817635665278E-2</v>
      </c>
      <c r="F31" s="32">
        <f t="shared" si="9"/>
        <v>3.629968505023104E-2</v>
      </c>
      <c r="G31" s="32">
        <f t="shared" si="9"/>
        <v>2.9573303448211987E-2</v>
      </c>
      <c r="H31" s="32">
        <f t="shared" si="9"/>
        <v>2.2233843350933719E-2</v>
      </c>
      <c r="I31" s="32">
        <f t="shared" si="9"/>
        <v>3.4128076647761685E-2</v>
      </c>
      <c r="J31" s="32">
        <f t="shared" si="9"/>
        <v>2.3900056111166121E-2</v>
      </c>
    </row>
    <row r="33" spans="2:12" x14ac:dyDescent="0.2">
      <c r="B33" s="8" t="s">
        <v>166</v>
      </c>
      <c r="C33" s="9"/>
      <c r="D33" s="9"/>
      <c r="E33" s="9"/>
      <c r="F33" s="9"/>
      <c r="G33" s="9"/>
      <c r="H33" s="9"/>
      <c r="I33" s="9"/>
      <c r="J33" s="9"/>
    </row>
    <row r="34" spans="2:12" x14ac:dyDescent="0.2">
      <c r="G34" s="17" t="s">
        <v>167</v>
      </c>
      <c r="H34" s="17" t="s">
        <v>168</v>
      </c>
    </row>
    <row r="35" spans="2:12" x14ac:dyDescent="0.2">
      <c r="B35" s="6" t="s">
        <v>169</v>
      </c>
      <c r="G35" s="34">
        <v>10605</v>
      </c>
      <c r="H35" s="34">
        <v>22443</v>
      </c>
    </row>
    <row r="36" spans="2:12" x14ac:dyDescent="0.2">
      <c r="B36" s="6" t="s">
        <v>170</v>
      </c>
      <c r="G36" s="34">
        <v>39065</v>
      </c>
      <c r="H36" s="34">
        <v>34143</v>
      </c>
    </row>
    <row r="37" spans="2:12" x14ac:dyDescent="0.2">
      <c r="B37" s="6" t="s">
        <v>171</v>
      </c>
      <c r="G37" s="34">
        <v>6283</v>
      </c>
    </row>
    <row r="39" spans="2:12" x14ac:dyDescent="0.2">
      <c r="B39" s="3" t="s">
        <v>28</v>
      </c>
      <c r="G39" s="30">
        <f>G35+G36</f>
        <v>49670</v>
      </c>
      <c r="H39" s="30">
        <f>H35+H36</f>
        <v>56586</v>
      </c>
      <c r="L39" s="7" t="s">
        <v>172</v>
      </c>
    </row>
    <row r="40" spans="2:12" x14ac:dyDescent="0.2">
      <c r="B40" s="6" t="s">
        <v>173</v>
      </c>
      <c r="G40" s="34">
        <v>12886</v>
      </c>
      <c r="H40" s="34">
        <v>42783</v>
      </c>
    </row>
    <row r="41" spans="2:12" x14ac:dyDescent="0.2">
      <c r="B41" s="6" t="s">
        <v>174</v>
      </c>
      <c r="G41" s="34">
        <v>22251</v>
      </c>
      <c r="H41" s="34">
        <v>51157</v>
      </c>
      <c r="L41" s="7" t="s">
        <v>175</v>
      </c>
    </row>
    <row r="42" spans="2:12" x14ac:dyDescent="0.2">
      <c r="B42" s="6" t="s">
        <v>176</v>
      </c>
      <c r="G42" s="34">
        <v>38466</v>
      </c>
      <c r="H42" s="34">
        <v>63059</v>
      </c>
    </row>
    <row r="43" spans="2:12" x14ac:dyDescent="0.2">
      <c r="B43" s="6" t="s">
        <v>177</v>
      </c>
      <c r="G43" s="34">
        <v>21403</v>
      </c>
      <c r="H43" s="34">
        <v>31575</v>
      </c>
    </row>
    <row r="44" spans="2:12" x14ac:dyDescent="0.2">
      <c r="B44" s="6" t="s">
        <v>178</v>
      </c>
      <c r="G44" s="34">
        <v>3180</v>
      </c>
      <c r="H44" s="34">
        <v>3409</v>
      </c>
    </row>
    <row r="45" spans="2:12" x14ac:dyDescent="0.2">
      <c r="B45" s="6" t="s">
        <v>179</v>
      </c>
      <c r="G45" s="34">
        <v>9812</v>
      </c>
      <c r="H45" s="34">
        <v>15059</v>
      </c>
    </row>
    <row r="46" spans="2:12" x14ac:dyDescent="0.2">
      <c r="B46" s="6" t="s">
        <v>180</v>
      </c>
      <c r="G46" s="34">
        <v>21352</v>
      </c>
      <c r="H46" s="34">
        <v>26960</v>
      </c>
    </row>
    <row r="47" spans="2:12" x14ac:dyDescent="0.2">
      <c r="B47" s="3" t="s">
        <v>181</v>
      </c>
      <c r="G47" s="30">
        <f>G42+G43+G44-G45-G46</f>
        <v>31885</v>
      </c>
      <c r="H47" s="30">
        <f>H42+H43+H44-H45-H46</f>
        <v>56024</v>
      </c>
    </row>
    <row r="48" spans="2:12" x14ac:dyDescent="0.2">
      <c r="B48" s="6" t="s">
        <v>182</v>
      </c>
      <c r="G48" s="32">
        <f>G47/G7</f>
        <v>0.14765812409117432</v>
      </c>
      <c r="H48" s="32">
        <f>H47/(I62*4)</f>
        <v>0.14556074037891936</v>
      </c>
    </row>
    <row r="49" spans="2:12" x14ac:dyDescent="0.2">
      <c r="B49" s="6" t="s">
        <v>183</v>
      </c>
      <c r="G49" s="34">
        <v>10383</v>
      </c>
      <c r="H49" s="34">
        <v>14285</v>
      </c>
    </row>
    <row r="50" spans="2:12" x14ac:dyDescent="0.2">
      <c r="B50" s="6" t="s">
        <v>184</v>
      </c>
      <c r="G50" s="34">
        <v>999</v>
      </c>
      <c r="H50" s="34">
        <v>1000</v>
      </c>
    </row>
    <row r="51" spans="2:12" x14ac:dyDescent="0.2">
      <c r="B51" s="6" t="s">
        <v>185</v>
      </c>
      <c r="G51" s="34">
        <v>7469</v>
      </c>
      <c r="H51" s="34">
        <v>32366</v>
      </c>
    </row>
    <row r="52" spans="2:12" x14ac:dyDescent="0.2">
      <c r="B52" s="3" t="s">
        <v>34</v>
      </c>
      <c r="G52" s="30">
        <f>G50+G51</f>
        <v>8468</v>
      </c>
      <c r="H52" s="30">
        <f>H50+H51</f>
        <v>33366</v>
      </c>
    </row>
    <row r="53" spans="2:12" x14ac:dyDescent="0.2">
      <c r="B53" s="6" t="s">
        <v>186</v>
      </c>
      <c r="G53" s="34">
        <v>157293</v>
      </c>
      <c r="H53" s="34">
        <v>228984</v>
      </c>
    </row>
    <row r="55" spans="2:12" x14ac:dyDescent="0.2">
      <c r="B55" s="8" t="s">
        <v>187</v>
      </c>
      <c r="C55" s="9"/>
      <c r="D55" s="9"/>
      <c r="E55" s="9"/>
      <c r="F55" s="9"/>
      <c r="G55" s="9"/>
      <c r="H55" s="9"/>
      <c r="I55" s="9"/>
      <c r="J55" s="9"/>
    </row>
    <row r="56" spans="2:12" x14ac:dyDescent="0.2">
      <c r="C56" s="17" t="s">
        <v>105</v>
      </c>
      <c r="D56" s="17" t="s">
        <v>188</v>
      </c>
      <c r="E56" s="17" t="s">
        <v>189</v>
      </c>
      <c r="F56" s="17" t="s">
        <v>190</v>
      </c>
      <c r="G56" s="17" t="s">
        <v>191</v>
      </c>
      <c r="H56" s="17" t="s">
        <v>192</v>
      </c>
      <c r="I56" s="17" t="s">
        <v>193</v>
      </c>
    </row>
    <row r="57" spans="2:12" x14ac:dyDescent="0.2">
      <c r="B57" s="6" t="s">
        <v>51</v>
      </c>
      <c r="E57" s="34">
        <v>24168</v>
      </c>
      <c r="H57" s="34">
        <v>43050</v>
      </c>
      <c r="I57" s="34">
        <v>48710</v>
      </c>
      <c r="L57" s="7" t="s">
        <v>194</v>
      </c>
    </row>
    <row r="58" spans="2:12" x14ac:dyDescent="0.2">
      <c r="B58" s="6" t="s">
        <v>53</v>
      </c>
      <c r="E58" s="34">
        <v>16928</v>
      </c>
      <c r="H58" s="34">
        <v>32196</v>
      </c>
      <c r="I58" s="34">
        <v>40313</v>
      </c>
    </row>
    <row r="59" spans="2:12" x14ac:dyDescent="0.2">
      <c r="B59" s="3" t="s">
        <v>113</v>
      </c>
      <c r="C59" s="34">
        <v>115186</v>
      </c>
      <c r="D59" s="34">
        <v>39112</v>
      </c>
      <c r="E59" s="34">
        <v>41096</v>
      </c>
      <c r="F59" s="34">
        <v>51215</v>
      </c>
      <c r="G59" s="34">
        <v>62314</v>
      </c>
      <c r="H59" s="34">
        <v>75246</v>
      </c>
      <c r="I59" s="34">
        <v>89023</v>
      </c>
    </row>
    <row r="60" spans="2:12" x14ac:dyDescent="0.2">
      <c r="B60" s="6" t="s">
        <v>55</v>
      </c>
      <c r="C60" s="29">
        <f>C62-C59</f>
        <v>15311</v>
      </c>
      <c r="D60" s="34">
        <v>4950</v>
      </c>
      <c r="E60" s="34">
        <v>5647</v>
      </c>
      <c r="F60" s="29">
        <f>F62-F59</f>
        <v>5791</v>
      </c>
      <c r="G60" s="34">
        <v>5813</v>
      </c>
      <c r="H60" s="34">
        <v>6369</v>
      </c>
      <c r="I60" s="34">
        <v>7198</v>
      </c>
      <c r="L60" s="7" t="s">
        <v>195</v>
      </c>
    </row>
    <row r="62" spans="2:12" x14ac:dyDescent="0.2">
      <c r="B62" s="3" t="s">
        <v>196</v>
      </c>
      <c r="C62" s="34">
        <v>130497</v>
      </c>
      <c r="D62" s="34">
        <v>44062</v>
      </c>
      <c r="E62" s="34">
        <v>46743</v>
      </c>
      <c r="F62" s="34">
        <v>57006</v>
      </c>
      <c r="G62" s="34">
        <v>68127</v>
      </c>
      <c r="H62" s="34">
        <v>81615</v>
      </c>
      <c r="I62" s="34">
        <v>96221</v>
      </c>
    </row>
    <row r="63" spans="2:12" x14ac:dyDescent="0.2">
      <c r="B63" s="6" t="s">
        <v>197</v>
      </c>
      <c r="C63" s="40">
        <f t="shared" ref="C63:I63" si="10">C59+C60-C62</f>
        <v>0</v>
      </c>
      <c r="D63" s="40">
        <f t="shared" si="10"/>
        <v>0</v>
      </c>
      <c r="E63" s="40">
        <f t="shared" si="10"/>
        <v>0</v>
      </c>
      <c r="F63" s="40">
        <f t="shared" si="10"/>
        <v>0</v>
      </c>
      <c r="G63" s="40">
        <f t="shared" si="10"/>
        <v>0</v>
      </c>
      <c r="H63" s="40">
        <f t="shared" si="10"/>
        <v>0</v>
      </c>
      <c r="I63" s="40">
        <f t="shared" si="10"/>
        <v>0</v>
      </c>
    </row>
    <row r="64" spans="2:12" x14ac:dyDescent="0.2">
      <c r="B64" s="6" t="s">
        <v>198</v>
      </c>
      <c r="E64" s="40">
        <f>E57+E58-E59</f>
        <v>0</v>
      </c>
      <c r="H64" s="40">
        <f>H57+H58-H59</f>
        <v>0</v>
      </c>
      <c r="I64" s="40">
        <f>I57+I58-I59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L28"/>
  <sheetViews>
    <sheetView showGridLines="0" zoomScaleNormal="100" workbookViewId="0"/>
  </sheetViews>
  <sheetFormatPr baseColWidth="10" defaultColWidth="8.6640625" defaultRowHeight="15" x14ac:dyDescent="0.2"/>
  <cols>
    <col min="1" max="1" width="2" customWidth="1"/>
    <col min="2" max="2" width="26" customWidth="1"/>
    <col min="3" max="3" width="9" customWidth="1"/>
    <col min="4" max="4" width="26" customWidth="1"/>
    <col min="5" max="6" width="10" customWidth="1"/>
    <col min="7" max="7" width="11" customWidth="1"/>
    <col min="8" max="9" width="2" customWidth="1"/>
    <col min="10" max="10" width="11" customWidth="1"/>
    <col min="11" max="11" width="2" customWidth="1"/>
    <col min="12" max="12" width="60" customWidth="1"/>
  </cols>
  <sheetData>
    <row r="2" spans="2:12" x14ac:dyDescent="0.2">
      <c r="B2" s="2" t="s">
        <v>199</v>
      </c>
    </row>
    <row r="3" spans="2:12" x14ac:dyDescent="0.2">
      <c r="B3" s="7" t="s">
        <v>17</v>
      </c>
    </row>
    <row r="5" spans="2:12" x14ac:dyDescent="0.2">
      <c r="B5" s="8" t="s">
        <v>200</v>
      </c>
      <c r="C5" s="9"/>
      <c r="D5" s="9"/>
      <c r="E5" s="9"/>
      <c r="F5" s="9"/>
      <c r="G5" s="9"/>
      <c r="H5" s="9"/>
      <c r="I5" s="9"/>
      <c r="J5" s="9"/>
    </row>
    <row r="6" spans="2:12" x14ac:dyDescent="0.2">
      <c r="B6" s="17" t="s">
        <v>201</v>
      </c>
      <c r="C6" s="17" t="s">
        <v>21</v>
      </c>
      <c r="D6" s="17" t="s">
        <v>202</v>
      </c>
      <c r="E6" s="17" t="s">
        <v>203</v>
      </c>
      <c r="F6" s="17" t="s">
        <v>204</v>
      </c>
      <c r="G6" s="17" t="s">
        <v>205</v>
      </c>
      <c r="H6" s="17"/>
      <c r="I6" s="17"/>
      <c r="J6" s="17" t="s">
        <v>206</v>
      </c>
    </row>
    <row r="7" spans="2:12" x14ac:dyDescent="0.2">
      <c r="B7" s="6" t="s">
        <v>207</v>
      </c>
      <c r="C7" s="6" t="s">
        <v>208</v>
      </c>
      <c r="D7" s="6" t="s">
        <v>209</v>
      </c>
      <c r="E7" s="43">
        <f>'Comps Valuation'!E7</f>
        <v>18.010000000000002</v>
      </c>
      <c r="F7" s="44">
        <f>'Comps Valuation'!J7</f>
        <v>1.48</v>
      </c>
      <c r="G7" s="32">
        <f t="shared" ref="G7:G12" si="0">1/E7</f>
        <v>5.5524708495280392E-2</v>
      </c>
      <c r="J7" s="32">
        <f>G7+Assumptions!$D$55</f>
        <v>8.5524708495280391E-2</v>
      </c>
      <c r="L7" s="7" t="s">
        <v>210</v>
      </c>
    </row>
    <row r="8" spans="2:12" x14ac:dyDescent="0.2">
      <c r="B8" s="6" t="s">
        <v>211</v>
      </c>
      <c r="C8" s="6" t="s">
        <v>212</v>
      </c>
      <c r="D8" s="6" t="s">
        <v>213</v>
      </c>
      <c r="E8" s="43">
        <f>'Comps Valuation'!E8</f>
        <v>38.33</v>
      </c>
      <c r="F8" s="44">
        <f>'Comps Valuation'!J8</f>
        <v>2.4500000000000002</v>
      </c>
      <c r="G8" s="32">
        <f t="shared" si="0"/>
        <v>2.6089225150013044E-2</v>
      </c>
      <c r="J8" s="32">
        <f>G8+Assumptions!$D$55</f>
        <v>5.6089225150013043E-2</v>
      </c>
      <c r="L8" s="7" t="s">
        <v>214</v>
      </c>
    </row>
    <row r="9" spans="2:12" x14ac:dyDescent="0.2">
      <c r="B9" s="6" t="s">
        <v>215</v>
      </c>
      <c r="C9" s="6" t="s">
        <v>216</v>
      </c>
      <c r="D9" s="6" t="s">
        <v>217</v>
      </c>
      <c r="E9" s="43">
        <f>'Comps Valuation'!E9</f>
        <v>20.68</v>
      </c>
      <c r="F9" s="44">
        <f>'Comps Valuation'!J9</f>
        <v>1.38</v>
      </c>
      <c r="G9" s="32">
        <f t="shared" si="0"/>
        <v>4.8355899419729211E-2</v>
      </c>
      <c r="J9" s="32">
        <f>G9+Assumptions!$D$55</f>
        <v>7.8355899419729202E-2</v>
      </c>
    </row>
    <row r="10" spans="2:12" x14ac:dyDescent="0.2">
      <c r="B10" s="6" t="s">
        <v>218</v>
      </c>
      <c r="C10" s="6" t="s">
        <v>219</v>
      </c>
      <c r="D10" s="6" t="s">
        <v>220</v>
      </c>
      <c r="E10" s="43">
        <f>'Comps Valuation'!E10</f>
        <v>5.0999999999999996</v>
      </c>
      <c r="F10" s="44">
        <f>'Comps Valuation'!J10</f>
        <v>2.23</v>
      </c>
      <c r="G10" s="32">
        <f t="shared" si="0"/>
        <v>0.19607843137254904</v>
      </c>
      <c r="J10" s="32">
        <f>G10+Assumptions!$D$55</f>
        <v>0.22607843137254904</v>
      </c>
    </row>
    <row r="11" spans="2:12" x14ac:dyDescent="0.2">
      <c r="B11" s="6" t="s">
        <v>221</v>
      </c>
      <c r="C11" s="6" t="s">
        <v>222</v>
      </c>
      <c r="D11" s="6" t="s">
        <v>223</v>
      </c>
      <c r="E11" s="43">
        <f>'Comps Valuation'!E11</f>
        <v>38.99</v>
      </c>
      <c r="F11" s="44">
        <f>'Comps Valuation'!J11</f>
        <v>2.2599999999999998</v>
      </c>
      <c r="G11" s="32">
        <f t="shared" si="0"/>
        <v>2.5647601949217745E-2</v>
      </c>
      <c r="J11" s="32">
        <f>G11+Assumptions!$D$55</f>
        <v>5.5647601949217744E-2</v>
      </c>
    </row>
    <row r="12" spans="2:12" x14ac:dyDescent="0.2">
      <c r="B12" s="6" t="s">
        <v>224</v>
      </c>
      <c r="C12" s="6" t="s">
        <v>225</v>
      </c>
      <c r="D12" s="6" t="s">
        <v>226</v>
      </c>
      <c r="E12" s="43">
        <f>'Comps Valuation'!E12</f>
        <v>18.12</v>
      </c>
      <c r="F12" s="44">
        <f>'Comps Valuation'!J12</f>
        <v>1.65</v>
      </c>
      <c r="G12" s="32">
        <f t="shared" si="0"/>
        <v>5.518763796909492E-2</v>
      </c>
      <c r="J12" s="32">
        <f>G12+Assumptions!$D$55</f>
        <v>8.5187637969094926E-2</v>
      </c>
    </row>
    <row r="14" spans="2:12" x14ac:dyDescent="0.2">
      <c r="B14" s="3" t="s">
        <v>227</v>
      </c>
      <c r="F14" s="45">
        <f>MEDIAN(F7:F12)</f>
        <v>1.94</v>
      </c>
      <c r="J14" s="46">
        <f>MEDIAN(J7:J12)</f>
        <v>8.1771768694412064E-2</v>
      </c>
    </row>
    <row r="15" spans="2:12" x14ac:dyDescent="0.2">
      <c r="B15" s="6" t="s">
        <v>228</v>
      </c>
      <c r="J15" s="32">
        <f>AVERAGE(J7:J12)</f>
        <v>9.7813917392647387E-2</v>
      </c>
    </row>
    <row r="17" spans="2:12" x14ac:dyDescent="0.2">
      <c r="B17" s="8" t="s">
        <v>229</v>
      </c>
      <c r="C17" s="9"/>
      <c r="D17" s="9"/>
      <c r="E17" s="9"/>
      <c r="F17" s="9"/>
      <c r="G17" s="9"/>
      <c r="H17" s="9"/>
      <c r="I17" s="9"/>
      <c r="J17" s="9"/>
    </row>
    <row r="18" spans="2:12" x14ac:dyDescent="0.2">
      <c r="B18" s="6" t="s">
        <v>230</v>
      </c>
      <c r="J18" s="47">
        <f>Assumptions!D52</f>
        <v>5.2929999999999998E-2</v>
      </c>
    </row>
    <row r="19" spans="2:12" x14ac:dyDescent="0.2">
      <c r="B19" s="6" t="s">
        <v>92</v>
      </c>
      <c r="J19" s="44">
        <f>Assumptions!D53</f>
        <v>2.2200000000000002</v>
      </c>
    </row>
    <row r="20" spans="2:12" x14ac:dyDescent="0.2">
      <c r="B20" s="6" t="s">
        <v>94</v>
      </c>
      <c r="J20" s="47">
        <f>Assumptions!D54</f>
        <v>0.05</v>
      </c>
    </row>
    <row r="21" spans="2:12" x14ac:dyDescent="0.2">
      <c r="B21" s="3" t="s">
        <v>231</v>
      </c>
      <c r="J21" s="48">
        <f>J18+J19*J20</f>
        <v>0.16393000000000002</v>
      </c>
    </row>
    <row r="23" spans="2:12" x14ac:dyDescent="0.2">
      <c r="B23" s="8" t="s">
        <v>232</v>
      </c>
      <c r="C23" s="9"/>
      <c r="D23" s="9"/>
      <c r="E23" s="9"/>
      <c r="F23" s="9"/>
      <c r="G23" s="9"/>
      <c r="H23" s="9"/>
      <c r="I23" s="9"/>
      <c r="J23" s="9"/>
    </row>
    <row r="24" spans="2:12" x14ac:dyDescent="0.2">
      <c r="B24" s="6" t="s">
        <v>233</v>
      </c>
      <c r="J24" s="42">
        <f>J14</f>
        <v>8.1771768694412064E-2</v>
      </c>
    </row>
    <row r="25" spans="2:12" x14ac:dyDescent="0.2">
      <c r="B25" s="6" t="s">
        <v>229</v>
      </c>
      <c r="J25" s="42">
        <f>J21</f>
        <v>0.16393000000000002</v>
      </c>
    </row>
    <row r="26" spans="2:12" x14ac:dyDescent="0.2">
      <c r="B26" s="6" t="s">
        <v>234</v>
      </c>
      <c r="J26" s="42">
        <f>AVERAGE(J24:J25)</f>
        <v>0.12285088434720604</v>
      </c>
    </row>
    <row r="27" spans="2:12" x14ac:dyDescent="0.2">
      <c r="B27" s="6" t="s">
        <v>235</v>
      </c>
      <c r="J27" s="49">
        <f>Assumptions!D62</f>
        <v>3</v>
      </c>
    </row>
    <row r="28" spans="2:12" x14ac:dyDescent="0.2">
      <c r="B28" s="3" t="s">
        <v>236</v>
      </c>
      <c r="J28" s="50">
        <f>CHOOSE(J27,J24,J25,J26)</f>
        <v>0.12285088434720604</v>
      </c>
      <c r="L28" s="7" t="s">
        <v>237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I29"/>
  <sheetViews>
    <sheetView showGridLines="0" zoomScale="139" zoomScaleNormal="100" workbookViewId="0">
      <selection activeCell="D7" sqref="D7"/>
    </sheetView>
  </sheetViews>
  <sheetFormatPr baseColWidth="10" defaultColWidth="8.6640625" defaultRowHeight="15" x14ac:dyDescent="0.2"/>
  <cols>
    <col min="1" max="1" width="2" customWidth="1"/>
    <col min="2" max="2" width="46" customWidth="1"/>
    <col min="3" max="7" width="11" customWidth="1"/>
    <col min="8" max="8" width="2" customWidth="1"/>
    <col min="9" max="9" width="60" customWidth="1"/>
  </cols>
  <sheetData>
    <row r="2" spans="2:9" x14ac:dyDescent="0.2">
      <c r="B2" s="2" t="s">
        <v>238</v>
      </c>
    </row>
    <row r="3" spans="2:9" x14ac:dyDescent="0.2">
      <c r="B3" s="7" t="s">
        <v>17</v>
      </c>
    </row>
    <row r="5" spans="2:9" x14ac:dyDescent="0.2">
      <c r="B5" s="8" t="s">
        <v>239</v>
      </c>
      <c r="C5" s="9"/>
      <c r="D5" s="9"/>
      <c r="E5" s="9"/>
      <c r="F5" s="9"/>
      <c r="G5" s="9"/>
    </row>
    <row r="6" spans="2:9" x14ac:dyDescent="0.2">
      <c r="C6" s="27" t="s">
        <v>108</v>
      </c>
      <c r="D6" s="27" t="s">
        <v>109</v>
      </c>
      <c r="E6" s="27" t="s">
        <v>60</v>
      </c>
      <c r="F6" s="27" t="s">
        <v>62</v>
      </c>
      <c r="G6" s="27" t="s">
        <v>64</v>
      </c>
    </row>
    <row r="7" spans="2:9" x14ac:dyDescent="0.2">
      <c r="B7" s="6" t="s">
        <v>138</v>
      </c>
      <c r="C7" s="28">
        <f>'Segment Forecast'!G11</f>
        <v>403849.93</v>
      </c>
      <c r="D7" s="28">
        <f>'Segment Forecast'!H11</f>
        <v>572132.69999999995</v>
      </c>
      <c r="E7" s="28">
        <f>'Segment Forecast'!I11</f>
        <v>657952.60499999998</v>
      </c>
      <c r="F7" s="28">
        <f>'Segment Forecast'!J11</f>
        <v>690850.23525000003</v>
      </c>
      <c r="G7" s="28">
        <f>'Segment Forecast'!K11</f>
        <v>718484.24465999997</v>
      </c>
    </row>
    <row r="8" spans="2:9" x14ac:dyDescent="0.2">
      <c r="B8" s="6" t="s">
        <v>115</v>
      </c>
      <c r="C8" s="38">
        <f>'Segment Forecast'!G12</f>
        <v>0.87021242208411675</v>
      </c>
      <c r="D8" s="38">
        <f>'Segment Forecast'!H12</f>
        <v>0.41669629607215719</v>
      </c>
      <c r="E8" s="38">
        <f>'Segment Forecast'!I12</f>
        <v>0.15000000000000013</v>
      </c>
      <c r="F8" s="38">
        <f>'Segment Forecast'!J12</f>
        <v>5.0000000000000044E-2</v>
      </c>
      <c r="G8" s="38">
        <f>'Segment Forecast'!K12</f>
        <v>3.9999999999999813E-2</v>
      </c>
    </row>
    <row r="9" spans="2:9" x14ac:dyDescent="0.2">
      <c r="B9" s="6" t="s">
        <v>240</v>
      </c>
      <c r="C9" s="38">
        <f>Assumptions!$D$39+(Assumptions!$D$40-Assumptions!$D$39)*0/4</f>
        <v>0.745</v>
      </c>
      <c r="D9" s="38">
        <f>Assumptions!$D$39+(Assumptions!$D$40-Assumptions!$D$39)*1/4</f>
        <v>0.72875000000000001</v>
      </c>
      <c r="E9" s="38">
        <f>Assumptions!$D$39+(Assumptions!$D$40-Assumptions!$D$39)*2/4</f>
        <v>0.71250000000000002</v>
      </c>
      <c r="F9" s="38">
        <f>Assumptions!$D$39+(Assumptions!$D$40-Assumptions!$D$39)*3/4</f>
        <v>0.69625000000000004</v>
      </c>
      <c r="G9" s="38">
        <f>Assumptions!$D$39+(Assumptions!$D$40-Assumptions!$D$39)*4/4</f>
        <v>0.68</v>
      </c>
    </row>
    <row r="10" spans="2:9" x14ac:dyDescent="0.2">
      <c r="B10" s="6" t="s">
        <v>140</v>
      </c>
      <c r="C10" s="29">
        <f>C7*C9</f>
        <v>300868.19785</v>
      </c>
      <c r="D10" s="29">
        <f>D7*D9</f>
        <v>416941.70512499998</v>
      </c>
      <c r="E10" s="29">
        <f>E7*E9</f>
        <v>468791.23106249998</v>
      </c>
      <c r="F10" s="29">
        <f>F7*F9</f>
        <v>481004.47629281256</v>
      </c>
      <c r="G10" s="29">
        <f>G7*G9</f>
        <v>488569.28636880004</v>
      </c>
    </row>
    <row r="11" spans="2:9" x14ac:dyDescent="0.2">
      <c r="B11" s="6" t="s">
        <v>241</v>
      </c>
      <c r="C11" s="28">
        <f>-('Historical Financials'!H11+'Historical Financials'!H12+'Segment Forecast'!$G$26+Assumptions!$D$41)</f>
        <v>-35229</v>
      </c>
      <c r="D11" s="28">
        <f>C11*(1+Assumptions!$D$42)</f>
        <v>-44036.25</v>
      </c>
      <c r="E11" s="28">
        <f>D11*(1+Assumptions!$D$42)</f>
        <v>-55045.3125</v>
      </c>
      <c r="F11" s="28">
        <f>E11*(1+Assumptions!$D$42)</f>
        <v>-68806.640625</v>
      </c>
      <c r="G11" s="28">
        <f>F11*(1+Assumptions!$D$42)</f>
        <v>-86008.30078125</v>
      </c>
      <c r="I11" s="7" t="s">
        <v>242</v>
      </c>
    </row>
    <row r="12" spans="2:9" x14ac:dyDescent="0.2">
      <c r="B12" s="3" t="s">
        <v>243</v>
      </c>
      <c r="C12" s="30">
        <f>C10+C11</f>
        <v>265639.19785</v>
      </c>
      <c r="D12" s="30">
        <f>D10+D11</f>
        <v>372905.45512499998</v>
      </c>
      <c r="E12" s="30">
        <f>E10+E11</f>
        <v>413745.91856249998</v>
      </c>
      <c r="F12" s="30">
        <f>F10+F11</f>
        <v>412197.83566781256</v>
      </c>
      <c r="G12" s="30">
        <f>G10+G11</f>
        <v>402560.98558755004</v>
      </c>
    </row>
    <row r="13" spans="2:9" x14ac:dyDescent="0.2">
      <c r="B13" s="6" t="s">
        <v>244</v>
      </c>
      <c r="C13" s="32">
        <f>C12/C7</f>
        <v>0.65776710138342731</v>
      </c>
      <c r="D13" s="32">
        <f>D12/D7</f>
        <v>0.65178140512681759</v>
      </c>
      <c r="E13" s="32">
        <f>E12/E7</f>
        <v>0.62883848383349739</v>
      </c>
      <c r="F13" s="32">
        <f>F12/F7</f>
        <v>0.59665295694463982</v>
      </c>
      <c r="G13" s="32">
        <f>G12/G7</f>
        <v>0.56029201555846131</v>
      </c>
    </row>
    <row r="14" spans="2:9" x14ac:dyDescent="0.2">
      <c r="B14" s="6" t="s">
        <v>245</v>
      </c>
      <c r="C14" s="28">
        <f>-C12*Assumptions!$D$43</f>
        <v>-45158.663634500001</v>
      </c>
      <c r="D14" s="28">
        <f>-D12*Assumptions!$D$43</f>
        <v>-63393.92737125</v>
      </c>
      <c r="E14" s="28">
        <f>-E12*Assumptions!$D$43</f>
        <v>-70336.806155625003</v>
      </c>
      <c r="F14" s="28">
        <f>-F12*Assumptions!$D$43</f>
        <v>-70073.632063528144</v>
      </c>
      <c r="G14" s="28">
        <f>-G12*Assumptions!$D$43</f>
        <v>-68435.367549883507</v>
      </c>
    </row>
    <row r="15" spans="2:9" x14ac:dyDescent="0.2">
      <c r="B15" s="3" t="s">
        <v>246</v>
      </c>
      <c r="C15" s="31">
        <f>C12+C14</f>
        <v>220480.5342155</v>
      </c>
      <c r="D15" s="31">
        <f>D12+D14</f>
        <v>309511.52775374998</v>
      </c>
      <c r="E15" s="31">
        <f>E12+E14</f>
        <v>343409.11240687501</v>
      </c>
      <c r="F15" s="31">
        <f>F12+F14</f>
        <v>342124.20360428444</v>
      </c>
      <c r="G15" s="31">
        <f>G12+G14</f>
        <v>334125.61803766654</v>
      </c>
      <c r="I15" s="7" t="s">
        <v>247</v>
      </c>
    </row>
    <row r="16" spans="2:9" x14ac:dyDescent="0.2">
      <c r="B16" s="6" t="s">
        <v>248</v>
      </c>
      <c r="C16" s="51">
        <f>C15/Assumptions!$D$9</f>
        <v>9.0788772582046526</v>
      </c>
      <c r="D16" s="51">
        <f>D15/Assumptions!$D$9</f>
        <v>12.744967171247684</v>
      </c>
      <c r="E16" s="51">
        <f>E15/Assumptions!$D$9</f>
        <v>14.140791122374923</v>
      </c>
      <c r="F16" s="51">
        <f>F15/Assumptions!$D$9</f>
        <v>14.087881556692791</v>
      </c>
      <c r="G16" s="51">
        <f>G15/Assumptions!$D$9</f>
        <v>13.758518346208216</v>
      </c>
    </row>
    <row r="18" spans="2:9" x14ac:dyDescent="0.2">
      <c r="B18" s="6" t="s">
        <v>249</v>
      </c>
      <c r="C18" s="28">
        <f>C25*Assumptions!$D$44</f>
        <v>4153.2</v>
      </c>
      <c r="D18" s="28">
        <f>D25*Assumptions!$D$44</f>
        <v>6530.4193000000005</v>
      </c>
      <c r="E18" s="28">
        <f>E25*Assumptions!$D$44</f>
        <v>9925.6449300000004</v>
      </c>
      <c r="F18" s="28">
        <f>F25*Assumptions!$D$44</f>
        <v>13192.865613</v>
      </c>
      <c r="G18" s="28">
        <f>G25*Assumptions!$D$44</f>
        <v>15860.497073175</v>
      </c>
    </row>
    <row r="19" spans="2:9" x14ac:dyDescent="0.2">
      <c r="B19" s="6" t="s">
        <v>250</v>
      </c>
      <c r="C19" s="29">
        <f>-C7*C28</f>
        <v>-10096.248250000001</v>
      </c>
      <c r="D19" s="29">
        <f>-D7*D28</f>
        <v>-15018.483375</v>
      </c>
      <c r="E19" s="29">
        <f>-E7*E28</f>
        <v>-18093.696637500001</v>
      </c>
      <c r="F19" s="29">
        <f>-F7*F28</f>
        <v>-19861.944263437501</v>
      </c>
      <c r="G19" s="29">
        <f>-G7*G28</f>
        <v>-21554.527339799999</v>
      </c>
    </row>
    <row r="20" spans="2:9" x14ac:dyDescent="0.2">
      <c r="B20" s="6" t="s">
        <v>251</v>
      </c>
      <c r="C20" s="28">
        <f>-(C27-'Historical Financials'!G47)</f>
        <v>-28692.489499999996</v>
      </c>
      <c r="D20" s="29">
        <f>-(D27-C27)</f>
        <v>-25242.415499999988</v>
      </c>
      <c r="E20" s="29">
        <f>-(E27-D27)</f>
        <v>-12872.985750000007</v>
      </c>
      <c r="F20" s="29">
        <f>-(F27-E27)</f>
        <v>-4934.6445375000039</v>
      </c>
      <c r="G20" s="29">
        <f>-(G27-F27)</f>
        <v>-4145.1014114999998</v>
      </c>
      <c r="I20" s="7" t="s">
        <v>252</v>
      </c>
    </row>
    <row r="21" spans="2:9" x14ac:dyDescent="0.2">
      <c r="B21" s="3" t="s">
        <v>253</v>
      </c>
      <c r="C21" s="31">
        <f>SUM(C15,C18:C20)</f>
        <v>185844.99646550001</v>
      </c>
      <c r="D21" s="31">
        <f>SUM(D15,D18:D20)</f>
        <v>275781.04817874997</v>
      </c>
      <c r="E21" s="31">
        <f>SUM(E15,E18:E20)</f>
        <v>322368.074949375</v>
      </c>
      <c r="F21" s="31">
        <f>SUM(F15,F18:F20)</f>
        <v>330520.48041634692</v>
      </c>
      <c r="G21" s="31">
        <f>SUM(G15,G18:G20)</f>
        <v>324286.48635954154</v>
      </c>
    </row>
    <row r="22" spans="2:9" x14ac:dyDescent="0.2">
      <c r="B22" s="6" t="s">
        <v>254</v>
      </c>
      <c r="C22" s="51">
        <f>C21/Assumptions!$D$9</f>
        <v>7.6526661093473338</v>
      </c>
      <c r="D22" s="51">
        <f>D21/Assumptions!$D$9</f>
        <v>11.356024219837346</v>
      </c>
      <c r="E22" s="51">
        <f>E21/Assumptions!$D$9</f>
        <v>13.274369979385423</v>
      </c>
      <c r="F22" s="51">
        <f>F21/Assumptions!$D$9</f>
        <v>13.610067136765366</v>
      </c>
      <c r="G22" s="51">
        <f>G21/Assumptions!$D$9</f>
        <v>13.353365713796233</v>
      </c>
    </row>
    <row r="23" spans="2:9" x14ac:dyDescent="0.2">
      <c r="B23" s="6" t="s">
        <v>255</v>
      </c>
      <c r="C23" s="32">
        <f>C21/C7</f>
        <v>0.4601833073624651</v>
      </c>
      <c r="D23" s="32">
        <f>D21/D7</f>
        <v>0.48202287367729552</v>
      </c>
      <c r="E23" s="32">
        <f>E21/E7</f>
        <v>0.48995637755606275</v>
      </c>
      <c r="F23" s="32">
        <f>F21/F7</f>
        <v>0.47842566094913536</v>
      </c>
      <c r="G23" s="32">
        <f>G21/G7</f>
        <v>0.45134808281425837</v>
      </c>
    </row>
    <row r="24" spans="2:9" x14ac:dyDescent="0.2">
      <c r="B24" s="6" t="s">
        <v>256</v>
      </c>
      <c r="C24" s="29">
        <f>C12+C18</f>
        <v>269792.39785000001</v>
      </c>
      <c r="D24" s="29">
        <f>D12+D18</f>
        <v>379435.87442499999</v>
      </c>
      <c r="E24" s="29">
        <f>E12+E18</f>
        <v>423671.56349249999</v>
      </c>
      <c r="F24" s="29">
        <f>F12+F18</f>
        <v>425390.70128081256</v>
      </c>
      <c r="G24" s="29">
        <f>G12+G18</f>
        <v>418421.48266072501</v>
      </c>
    </row>
    <row r="25" spans="2:9" x14ac:dyDescent="0.2">
      <c r="B25" s="6" t="s">
        <v>257</v>
      </c>
      <c r="C25" s="28">
        <f>'Historical Financials'!G49</f>
        <v>10383</v>
      </c>
      <c r="D25" s="29">
        <f>C26</f>
        <v>16326.04825</v>
      </c>
      <c r="E25" s="29">
        <f>D26</f>
        <v>24814.112324999998</v>
      </c>
      <c r="F25" s="29">
        <f>E26</f>
        <v>32982.164032499997</v>
      </c>
      <c r="G25" s="29">
        <f>F26</f>
        <v>39651.242682937496</v>
      </c>
      <c r="I25" s="7" t="s">
        <v>258</v>
      </c>
    </row>
    <row r="26" spans="2:9" x14ac:dyDescent="0.2">
      <c r="B26" s="6" t="s">
        <v>259</v>
      </c>
      <c r="C26" s="29">
        <f>C25-C19-C18</f>
        <v>16326.04825</v>
      </c>
      <c r="D26" s="29">
        <f>D25-D19-D18</f>
        <v>24814.112324999998</v>
      </c>
      <c r="E26" s="29">
        <f>E25-E19-E18</f>
        <v>32982.164032499997</v>
      </c>
      <c r="F26" s="29">
        <f>F25-F19-F18</f>
        <v>39651.242682937496</v>
      </c>
      <c r="G26" s="29">
        <f>G25-G19-G18</f>
        <v>45345.272949562495</v>
      </c>
    </row>
    <row r="27" spans="2:9" x14ac:dyDescent="0.2">
      <c r="B27" s="6" t="s">
        <v>260</v>
      </c>
      <c r="C27" s="28">
        <f>C7*Assumptions!$D$47</f>
        <v>60577.489499999996</v>
      </c>
      <c r="D27" s="28">
        <f>D7*Assumptions!$D$47</f>
        <v>85819.904999999984</v>
      </c>
      <c r="E27" s="28">
        <f>E7*Assumptions!$D$47</f>
        <v>98692.890749999991</v>
      </c>
      <c r="F27" s="28">
        <f>F7*Assumptions!$D$47</f>
        <v>103627.5352875</v>
      </c>
      <c r="G27" s="28">
        <f>G7*Assumptions!$D$47</f>
        <v>107772.636699</v>
      </c>
    </row>
    <row r="28" spans="2:9" x14ac:dyDescent="0.2">
      <c r="B28" s="6" t="s">
        <v>261</v>
      </c>
      <c r="C28" s="47">
        <f>Assumptions!$D$45+(Assumptions!$D$46-Assumptions!$D$45)*0/4</f>
        <v>2.5000000000000001E-2</v>
      </c>
      <c r="D28" s="47">
        <f>Assumptions!$D$45+(Assumptions!$D$46-Assumptions!$D$45)*1/4</f>
        <v>2.6250000000000002E-2</v>
      </c>
      <c r="E28" s="47">
        <f>Assumptions!$D$45+(Assumptions!$D$46-Assumptions!$D$45)*2/4</f>
        <v>2.75E-2</v>
      </c>
      <c r="F28" s="47">
        <f>Assumptions!$D$45+(Assumptions!$D$46-Assumptions!$D$45)*3/4</f>
        <v>2.8749999999999998E-2</v>
      </c>
      <c r="G28" s="47">
        <f>Assumptions!$D$45+(Assumptions!$D$46-Assumptions!$D$45)*4/4</f>
        <v>0.03</v>
      </c>
    </row>
    <row r="29" spans="2:9" x14ac:dyDescent="0.2">
      <c r="B29" s="6" t="s">
        <v>262</v>
      </c>
      <c r="C29" s="32">
        <f>-C11/C7</f>
        <v>8.723289861657274E-2</v>
      </c>
      <c r="D29" s="32">
        <f>-D11/D7</f>
        <v>7.6968594873182403E-2</v>
      </c>
      <c r="E29" s="32">
        <f>-E11/E7</f>
        <v>8.3661516166502609E-2</v>
      </c>
      <c r="F29" s="32">
        <f>-F11/F7</f>
        <v>9.959704305536024E-2</v>
      </c>
      <c r="G29" s="32">
        <f>-G11/G7</f>
        <v>0.11970798444153875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I38"/>
  <sheetViews>
    <sheetView showGridLines="0" zoomScale="114" zoomScaleNormal="100" workbookViewId="0">
      <pane xSplit="2" ySplit="6" topLeftCell="C13" activePane="bottomRight" state="frozen"/>
      <selection pane="topRight" activeCell="C1" sqref="C1"/>
      <selection pane="bottomLeft" activeCell="A7" sqref="A7"/>
      <selection pane="bottomRight" activeCell="G19" sqref="G19"/>
    </sheetView>
  </sheetViews>
  <sheetFormatPr baseColWidth="10" defaultColWidth="8.6640625" defaultRowHeight="15" x14ac:dyDescent="0.2"/>
  <cols>
    <col min="1" max="1" width="2" customWidth="1"/>
    <col min="2" max="2" width="46" customWidth="1"/>
    <col min="3" max="7" width="11" customWidth="1"/>
    <col min="8" max="8" width="2" customWidth="1"/>
    <col min="9" max="9" width="60" customWidth="1"/>
  </cols>
  <sheetData>
    <row r="2" spans="2:9" x14ac:dyDescent="0.2">
      <c r="B2" s="2" t="s">
        <v>263</v>
      </c>
    </row>
    <row r="3" spans="2:9" x14ac:dyDescent="0.2">
      <c r="B3" s="7" t="s">
        <v>17</v>
      </c>
    </row>
    <row r="5" spans="2:9" x14ac:dyDescent="0.2">
      <c r="B5" s="8" t="s">
        <v>264</v>
      </c>
      <c r="C5" s="9"/>
      <c r="D5" s="9"/>
      <c r="E5" s="9"/>
      <c r="F5" s="9"/>
      <c r="G5" s="9"/>
    </row>
    <row r="6" spans="2:9" x14ac:dyDescent="0.2">
      <c r="C6" s="27" t="s">
        <v>108</v>
      </c>
      <c r="D6" s="27" t="s">
        <v>109</v>
      </c>
      <c r="E6" s="27" t="s">
        <v>60</v>
      </c>
      <c r="F6" s="27" t="s">
        <v>62</v>
      </c>
      <c r="G6" s="27" t="s">
        <v>64</v>
      </c>
    </row>
    <row r="7" spans="2:9" x14ac:dyDescent="0.2">
      <c r="B7" s="6" t="s">
        <v>265</v>
      </c>
      <c r="C7" s="28">
        <f>'Operating Model Output'!C21</f>
        <v>185844.99646550001</v>
      </c>
      <c r="D7" s="28">
        <f>'Operating Model Output'!D21</f>
        <v>275781.04817874997</v>
      </c>
      <c r="E7" s="28">
        <f>'Operating Model Output'!E21</f>
        <v>322368.074949375</v>
      </c>
      <c r="F7" s="28">
        <f>'Operating Model Output'!F21</f>
        <v>330520.48041634692</v>
      </c>
      <c r="G7" s="28">
        <f>'Operating Model Output'!G21</f>
        <v>324286.48635954154</v>
      </c>
    </row>
    <row r="8" spans="2:9" x14ac:dyDescent="0.2">
      <c r="B8" s="6" t="s">
        <v>266</v>
      </c>
      <c r="C8" s="38">
        <f>'Segment Forecast'!G15</f>
        <v>0.55964830797420217</v>
      </c>
      <c r="D8" s="32">
        <v>1</v>
      </c>
      <c r="E8" s="32">
        <v>1</v>
      </c>
      <c r="F8" s="32">
        <v>1</v>
      </c>
      <c r="G8" s="32">
        <v>1</v>
      </c>
      <c r="I8" s="7" t="s">
        <v>267</v>
      </c>
    </row>
    <row r="9" spans="2:9" x14ac:dyDescent="0.2">
      <c r="B9" s="6" t="s">
        <v>268</v>
      </c>
      <c r="C9" s="29">
        <f>C7*C8</f>
        <v>104007.83781738866</v>
      </c>
      <c r="D9" s="29">
        <f>D7*D8</f>
        <v>275781.04817874997</v>
      </c>
      <c r="E9" s="29">
        <f>E7*E8</f>
        <v>322368.074949375</v>
      </c>
      <c r="F9" s="29">
        <f>F7*F8</f>
        <v>330520.48041634692</v>
      </c>
      <c r="G9" s="29">
        <f>G7*G8</f>
        <v>324286.48635954154</v>
      </c>
    </row>
    <row r="10" spans="2:9" x14ac:dyDescent="0.2">
      <c r="B10" s="6" t="s">
        <v>269</v>
      </c>
      <c r="C10" s="44">
        <f>Assumptions!$D$15</f>
        <v>0.33424657534246577</v>
      </c>
      <c r="D10" s="52">
        <f>C10+1</f>
        <v>1.3342465753424657</v>
      </c>
      <c r="E10" s="52">
        <f>D10+1</f>
        <v>2.3342465753424655</v>
      </c>
      <c r="F10" s="52">
        <f>E10+1</f>
        <v>3.3342465753424655</v>
      </c>
      <c r="G10" s="52">
        <f>F10+1</f>
        <v>4.3342465753424655</v>
      </c>
    </row>
    <row r="11" spans="2:9" x14ac:dyDescent="0.2">
      <c r="B11" s="6" t="s">
        <v>270</v>
      </c>
      <c r="C11" s="52">
        <f>IF(Assumptions!$D$16=1,C10/2,C10)</f>
        <v>0.16712328767123288</v>
      </c>
      <c r="D11" s="52">
        <f>IF(Assumptions!$D$16=1,D10-0.5,D10)</f>
        <v>0.83424657534246571</v>
      </c>
      <c r="E11" s="52">
        <f>IF(Assumptions!$D$16=1,E10-0.5,E10)</f>
        <v>1.8342465753424655</v>
      </c>
      <c r="F11" s="52">
        <f>IF(Assumptions!$D$16=1,F10-0.5,F10)</f>
        <v>2.8342465753424655</v>
      </c>
      <c r="G11" s="52">
        <f>IF(Assumptions!$D$16=1,G10-0.5,G10)</f>
        <v>3.8342465753424655</v>
      </c>
    </row>
    <row r="12" spans="2:9" x14ac:dyDescent="0.2">
      <c r="B12" s="6" t="s">
        <v>271</v>
      </c>
      <c r="C12" s="47">
        <f>'Cost of Equity'!$J$28</f>
        <v>0.12285088434720604</v>
      </c>
      <c r="D12" s="47">
        <f>'Cost of Equity'!$J$28</f>
        <v>0.12285088434720604</v>
      </c>
      <c r="E12" s="47">
        <f>'Cost of Equity'!$J$28</f>
        <v>0.12285088434720604</v>
      </c>
      <c r="F12" s="47">
        <f>'Cost of Equity'!$J$28</f>
        <v>0.12285088434720604</v>
      </c>
      <c r="G12" s="47">
        <f>'Cost of Equity'!$J$28</f>
        <v>0.12285088434720604</v>
      </c>
    </row>
    <row r="13" spans="2:9" x14ac:dyDescent="0.2">
      <c r="B13" s="6" t="s">
        <v>272</v>
      </c>
      <c r="C13" s="53">
        <f>1/(1+C12)^C11</f>
        <v>0.98082156879610105</v>
      </c>
      <c r="D13" s="53">
        <f>1/(1+D12)^D11</f>
        <v>0.90786019013976416</v>
      </c>
      <c r="E13" s="53">
        <f>1/(1+E12)^E11</f>
        <v>0.80853139343392733</v>
      </c>
      <c r="F13" s="53">
        <f>1/(1+F12)^F11</f>
        <v>0.72007013994915703</v>
      </c>
      <c r="G13" s="53">
        <f>1/(1+G12)^G11</f>
        <v>0.64128741401649747</v>
      </c>
    </row>
    <row r="14" spans="2:9" x14ac:dyDescent="0.2">
      <c r="B14" s="6" t="s">
        <v>273</v>
      </c>
      <c r="C14" s="29">
        <f>C9*C13</f>
        <v>102013.13065514159</v>
      </c>
      <c r="D14" s="29">
        <f>D9*D13</f>
        <v>250370.63483650342</v>
      </c>
      <c r="E14" s="29">
        <f>E9*E13</f>
        <v>260644.7088374309</v>
      </c>
      <c r="F14" s="29">
        <f>F9*F13</f>
        <v>237997.92858946155</v>
      </c>
      <c r="G14" s="29">
        <f>G9*G13</f>
        <v>207960.84223800656</v>
      </c>
    </row>
    <row r="16" spans="2:9" x14ac:dyDescent="0.2">
      <c r="B16" s="8" t="s">
        <v>274</v>
      </c>
      <c r="C16" s="9"/>
      <c r="D16" s="9"/>
      <c r="E16" s="9"/>
      <c r="F16" s="9"/>
      <c r="G16" s="9"/>
    </row>
    <row r="17" spans="2:9" x14ac:dyDescent="0.2">
      <c r="B17" s="6" t="s">
        <v>275</v>
      </c>
      <c r="G17" s="29">
        <f>G7</f>
        <v>324286.48635954154</v>
      </c>
    </row>
    <row r="18" spans="2:9" x14ac:dyDescent="0.2">
      <c r="B18" s="6" t="s">
        <v>276</v>
      </c>
      <c r="G18" s="47">
        <f>Assumptions!D48</f>
        <v>0.03</v>
      </c>
    </row>
    <row r="19" spans="2:9" x14ac:dyDescent="0.2">
      <c r="B19" s="6" t="s">
        <v>271</v>
      </c>
      <c r="G19" s="47">
        <f>'Cost of Equity'!J28</f>
        <v>0.12285088434720604</v>
      </c>
    </row>
    <row r="20" spans="2:9" x14ac:dyDescent="0.2">
      <c r="B20" s="6" t="s">
        <v>277</v>
      </c>
      <c r="G20" s="29">
        <f>G17*(1+G18)/(G19-G18)</f>
        <v>3597327.9446786293</v>
      </c>
      <c r="I20" s="7" t="s">
        <v>278</v>
      </c>
    </row>
    <row r="21" spans="2:9" x14ac:dyDescent="0.2">
      <c r="B21" s="6" t="s">
        <v>279</v>
      </c>
      <c r="G21" s="52">
        <f>G10</f>
        <v>4.3342465753424655</v>
      </c>
    </row>
    <row r="22" spans="2:9" x14ac:dyDescent="0.2">
      <c r="B22" s="6" t="s">
        <v>280</v>
      </c>
      <c r="G22" s="29">
        <f>G20/(1+G19)^G21</f>
        <v>2177066.5507196221</v>
      </c>
    </row>
    <row r="23" spans="2:9" x14ac:dyDescent="0.2">
      <c r="B23" s="6" t="s">
        <v>281</v>
      </c>
      <c r="G23" s="29">
        <f>SUM(C14:G14)</f>
        <v>1058987.245156544</v>
      </c>
    </row>
    <row r="24" spans="2:9" x14ac:dyDescent="0.2">
      <c r="B24" s="3" t="s">
        <v>282</v>
      </c>
      <c r="G24" s="54">
        <f>G22+G23</f>
        <v>3236053.7958761659</v>
      </c>
    </row>
    <row r="25" spans="2:9" x14ac:dyDescent="0.2">
      <c r="B25" s="6" t="s">
        <v>283</v>
      </c>
      <c r="G25" s="28">
        <f>Assumptions!D10</f>
        <v>56586</v>
      </c>
    </row>
    <row r="26" spans="2:9" x14ac:dyDescent="0.2">
      <c r="B26" s="6" t="s">
        <v>284</v>
      </c>
      <c r="G26" s="28">
        <f>Assumptions!D11</f>
        <v>42783</v>
      </c>
    </row>
    <row r="27" spans="2:9" x14ac:dyDescent="0.2">
      <c r="B27" s="6" t="s">
        <v>285</v>
      </c>
      <c r="G27" s="28">
        <f>Assumptions!D12*(1-Assumptions!D49)</f>
        <v>51157</v>
      </c>
      <c r="I27" s="7" t="s">
        <v>286</v>
      </c>
    </row>
    <row r="28" spans="2:9" x14ac:dyDescent="0.2">
      <c r="B28" s="6" t="s">
        <v>287</v>
      </c>
      <c r="G28" s="28">
        <f>-Assumptions!D13</f>
        <v>-33366</v>
      </c>
    </row>
    <row r="29" spans="2:9" x14ac:dyDescent="0.2">
      <c r="B29" s="3" t="s">
        <v>288</v>
      </c>
      <c r="G29" s="54">
        <f>SUM(G24:G28)</f>
        <v>3353213.7958761659</v>
      </c>
    </row>
    <row r="30" spans="2:9" x14ac:dyDescent="0.2">
      <c r="B30" s="6" t="s">
        <v>289</v>
      </c>
      <c r="G30" s="55">
        <f>Assumptions!D9</f>
        <v>24285</v>
      </c>
    </row>
    <row r="31" spans="2:9" x14ac:dyDescent="0.2">
      <c r="B31" s="3" t="s">
        <v>290</v>
      </c>
      <c r="G31" s="56">
        <f>G29/G30</f>
        <v>138.07757034696996</v>
      </c>
      <c r="I31" s="7" t="s">
        <v>291</v>
      </c>
    </row>
    <row r="32" spans="2:9" x14ac:dyDescent="0.2">
      <c r="B32" s="6" t="s">
        <v>24</v>
      </c>
      <c r="G32" s="51">
        <f>Assumptions!D8</f>
        <v>229.57</v>
      </c>
    </row>
    <row r="33" spans="2:7" x14ac:dyDescent="0.2">
      <c r="B33" s="3" t="s">
        <v>292</v>
      </c>
      <c r="G33" s="36">
        <f>G31/G32-1</f>
        <v>-0.39853826568380024</v>
      </c>
    </row>
    <row r="35" spans="2:7" x14ac:dyDescent="0.2">
      <c r="B35" s="6" t="s">
        <v>293</v>
      </c>
      <c r="G35" s="32">
        <f>G22/G24</f>
        <v>0.67275351030750663</v>
      </c>
    </row>
    <row r="36" spans="2:7" x14ac:dyDescent="0.2">
      <c r="B36" s="6" t="s">
        <v>294</v>
      </c>
      <c r="G36" s="43">
        <f>G31/'Operating Model Output'!D16</f>
        <v>10.833889839941635</v>
      </c>
    </row>
    <row r="37" spans="2:7" x14ac:dyDescent="0.2">
      <c r="B37" s="6" t="s">
        <v>295</v>
      </c>
      <c r="G37" s="43">
        <f>G32/'Comps Valuation'!G24</f>
        <v>14.58</v>
      </c>
    </row>
    <row r="38" spans="2:7" x14ac:dyDescent="0.2">
      <c r="B38" s="6" t="s">
        <v>296</v>
      </c>
      <c r="G38" s="43">
        <f>'Operating Model Output'!D16/'Comps Valuation'!G24</f>
        <v>0.80943338135118359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J36"/>
  <sheetViews>
    <sheetView showGridLines="0" zoomScale="150" zoomScaleNormal="100" workbookViewId="0"/>
  </sheetViews>
  <sheetFormatPr baseColWidth="10" defaultColWidth="8.6640625" defaultRowHeight="15" x14ac:dyDescent="0.2"/>
  <cols>
    <col min="1" max="1" width="2" customWidth="1"/>
    <col min="2" max="2" width="34" customWidth="1"/>
    <col min="3" max="3" width="11" customWidth="1"/>
    <col min="4" max="10" width="10.5" customWidth="1"/>
    <col min="11" max="11" width="2" customWidth="1"/>
  </cols>
  <sheetData>
    <row r="2" spans="2:10" x14ac:dyDescent="0.2">
      <c r="B2" s="2" t="s">
        <v>297</v>
      </c>
    </row>
    <row r="3" spans="2:10" x14ac:dyDescent="0.2">
      <c r="B3" s="7" t="s">
        <v>17</v>
      </c>
    </row>
    <row r="5" spans="2:10" x14ac:dyDescent="0.2">
      <c r="B5" s="8" t="s">
        <v>298</v>
      </c>
      <c r="C5" s="9"/>
      <c r="D5" s="9"/>
      <c r="E5" s="9"/>
      <c r="F5" s="9"/>
      <c r="G5" s="9"/>
      <c r="H5" s="9"/>
      <c r="I5" s="9"/>
      <c r="J5" s="9"/>
    </row>
    <row r="7" spans="2:10" x14ac:dyDescent="0.2">
      <c r="C7" s="57" t="s">
        <v>299</v>
      </c>
      <c r="D7" s="58">
        <f>'OUT-DCF'!$G$18-3*Assumptions!$D$59</f>
        <v>2.2499999999999999E-2</v>
      </c>
      <c r="E7" s="58">
        <f>'OUT-DCF'!$G$18-2*Assumptions!$D$59</f>
        <v>2.4999999999999998E-2</v>
      </c>
      <c r="F7" s="58">
        <f>'OUT-DCF'!$G$18-1*Assumptions!$D$59</f>
        <v>2.75E-2</v>
      </c>
      <c r="G7" s="58">
        <f>'OUT-DCF'!$G$18+0*Assumptions!$D$59</f>
        <v>0.03</v>
      </c>
      <c r="H7" s="58">
        <f>'OUT-DCF'!$G$18+1*Assumptions!$D$59</f>
        <v>3.2500000000000001E-2</v>
      </c>
      <c r="I7" s="58">
        <f>'OUT-DCF'!$G$18+2*Assumptions!$D$59</f>
        <v>3.4999999999999996E-2</v>
      </c>
      <c r="J7" s="58">
        <f>'OUT-DCF'!$G$18+3*Assumptions!$D$59</f>
        <v>3.7499999999999999E-2</v>
      </c>
    </row>
    <row r="8" spans="2:10" x14ac:dyDescent="0.2">
      <c r="C8" s="59">
        <f>'OUT-DCF'!$G$19-3*Assumptions!$D$58</f>
        <v>9.2850884347206036E-2</v>
      </c>
      <c r="D8" s="41">
        <f>IF($C8&lt;=D$7,"n.m.",(SUMPRODUCT('OUT-DCF'!$C$9:$G$9,1/(1+$C8)^'OUT-DCF'!$C$11:$G$11)+'OUT-DCF'!$G$17*(1+D$7)/($C8-D$7)/(1+$C8)^'OUT-DCF'!$G$21+SUM('OUT-DCF'!$G$25:$G$28))/Assumptions!$D$9)</f>
        <v>183.0356022937568</v>
      </c>
      <c r="E8" s="41">
        <f>IF($C8&lt;=E$7,"n.m.",(SUMPRODUCT('OUT-DCF'!$C$9:$G$9,1/(1+$C8)^'OUT-DCF'!$C$11:$G$11)+'OUT-DCF'!$G$17*(1+E$7)/($C8-E$7)/(1+$C8)^'OUT-DCF'!$G$21+SUM('OUT-DCF'!$G$25:$G$28))/Assumptions!$D$9)</f>
        <v>188.237168167411</v>
      </c>
      <c r="F8" s="41">
        <f>IF($C8&lt;=F$7,"n.m.",(SUMPRODUCT('OUT-DCF'!$C$9:$G$9,1/(1+$C8)^'OUT-DCF'!$C$11:$G$11)+'OUT-DCF'!$G$17*(1+F$7)/($C8-F$7)/(1+$C8)^'OUT-DCF'!$G$21+SUM('OUT-DCF'!$G$25:$G$28))/Assumptions!$D$9)</f>
        <v>193.83670615158931</v>
      </c>
      <c r="G8" s="41">
        <f>IF($C8&lt;=G$7,"n.m.",(SUMPRODUCT('OUT-DCF'!$C$9:$G$9,1/(1+$C8)^'OUT-DCF'!$C$11:$G$11)+'OUT-DCF'!$G$17*(1+G$7)/($C8-G$7)/(1+$C8)^'OUT-DCF'!$G$21+SUM('OUT-DCF'!$G$25:$G$28))/Assumptions!$D$9)</f>
        <v>199.88170628338386</v>
      </c>
      <c r="H8" s="41">
        <f>IF($C8&lt;=H$7,"n.m.",(SUMPRODUCT('OUT-DCF'!$C$9:$G$9,1/(1+$C8)^'OUT-DCF'!$C$11:$G$11)+'OUT-DCF'!$G$17*(1+H$7)/($C8-H$7)/(1+$C8)^'OUT-DCF'!$G$21+SUM('OUT-DCF'!$G$25:$G$28))/Assumptions!$D$9)</f>
        <v>206.42752758765846</v>
      </c>
      <c r="I8" s="41">
        <f>IF($C8&lt;=I$7,"n.m.",(SUMPRODUCT('OUT-DCF'!$C$9:$G$9,1/(1+$C8)^'OUT-DCF'!$C$11:$G$11)+'OUT-DCF'!$G$17*(1+I$7)/($C8-I$7)/(1+$C8)^'OUT-DCF'!$G$21+SUM('OUT-DCF'!$G$25:$G$28))/Assumptions!$D$9)</f>
        <v>213.5390983509204</v>
      </c>
      <c r="J8" s="41">
        <f>IF($C8&lt;=J$7,"n.m.",(SUMPRODUCT('OUT-DCF'!$C$9:$G$9,1/(1+$C8)^'OUT-DCF'!$C$11:$G$11)+'OUT-DCF'!$G$17*(1+J$7)/($C8-J$7)/(1+$C8)^'OUT-DCF'!$G$21+SUM('OUT-DCF'!$G$25:$G$28))/Assumptions!$D$9)</f>
        <v>221.29307716665838</v>
      </c>
    </row>
    <row r="9" spans="2:10" x14ac:dyDescent="0.2">
      <c r="C9" s="59">
        <f>'OUT-DCF'!$G$19-2*Assumptions!$D$58</f>
        <v>0.10285088434720603</v>
      </c>
      <c r="D9" s="41">
        <f>IF($C9&lt;=D$7,"n.m.",(SUMPRODUCT('OUT-DCF'!$C$9:$G$9,1/(1+$C9)^'OUT-DCF'!$C$11:$G$11)+'OUT-DCF'!$G$17*(1+D$7)/($C9-D$7)/(1+$C9)^'OUT-DCF'!$G$21+SUM('OUT-DCF'!$G$25:$G$28))/Assumptions!$D$9)</f>
        <v>161.2515147953068</v>
      </c>
      <c r="E9" s="41">
        <f>IF($C9&lt;=E$7,"n.m.",(SUMPRODUCT('OUT-DCF'!$C$9:$G$9,1/(1+$C9)^'OUT-DCF'!$C$11:$G$11)+'OUT-DCF'!$G$17*(1+E$7)/($C9-E$7)/(1+$C9)^'OUT-DCF'!$G$21+SUM('OUT-DCF'!$G$25:$G$28))/Assumptions!$D$9)</f>
        <v>165.10199646288319</v>
      </c>
      <c r="F9" s="41">
        <f>IF($C9&lt;=F$7,"n.m.",(SUMPRODUCT('OUT-DCF'!$C$9:$G$9,1/(1+$C9)^'OUT-DCF'!$C$11:$G$11)+'OUT-DCF'!$G$17*(1+F$7)/($C9-F$7)/(1+$C9)^'OUT-DCF'!$G$21+SUM('OUT-DCF'!$G$25:$G$28))/Assumptions!$D$9)</f>
        <v>169.20798154630756</v>
      </c>
      <c r="G9" s="41">
        <f>IF($C9&lt;=G$7,"n.m.",(SUMPRODUCT('OUT-DCF'!$C$9:$G$9,1/(1+$C9)^'OUT-DCF'!$C$11:$G$11)+'OUT-DCF'!$G$17*(1+G$7)/($C9-G$7)/(1+$C9)^'OUT-DCF'!$G$21+SUM('OUT-DCF'!$G$25:$G$28))/Assumptions!$D$9)</f>
        <v>173.5957741273497</v>
      </c>
      <c r="H9" s="41">
        <f>IF($C9&lt;=H$7,"n.m.",(SUMPRODUCT('OUT-DCF'!$C$9:$G$9,1/(1+$C9)^'OUT-DCF'!$C$11:$G$11)+'OUT-DCF'!$G$17*(1+H$7)/($C9-H$7)/(1+$C9)^'OUT-DCF'!$G$21+SUM('OUT-DCF'!$G$25:$G$28))/Assumptions!$D$9)</f>
        <v>178.29541727159057</v>
      </c>
      <c r="I9" s="41">
        <f>IF($C9&lt;=I$7,"n.m.",(SUMPRODUCT('OUT-DCF'!$C$9:$G$9,1/(1+$C9)^'OUT-DCF'!$C$11:$G$11)+'OUT-DCF'!$G$17*(1+I$7)/($C9-I$7)/(1+$C9)^'OUT-DCF'!$G$21+SUM('OUT-DCF'!$G$25:$G$28))/Assumptions!$D$9)</f>
        <v>183.34138185212927</v>
      </c>
      <c r="J9" s="41">
        <f>IF($C9&lt;=J$7,"n.m.",(SUMPRODUCT('OUT-DCF'!$C$9:$G$9,1/(1+$C9)^'OUT-DCF'!$C$11:$G$11)+'OUT-DCF'!$G$17*(1+J$7)/($C9-J$7)/(1+$C9)^'OUT-DCF'!$G$21+SUM('OUT-DCF'!$G$25:$G$28))/Assumptions!$D$9)</f>
        <v>188.77341347911616</v>
      </c>
    </row>
    <row r="10" spans="2:10" x14ac:dyDescent="0.2">
      <c r="C10" s="59">
        <f>'OUT-DCF'!$G$19-1*Assumptions!$D$58</f>
        <v>0.11285088434720604</v>
      </c>
      <c r="D10" s="41">
        <f>IF($C10&lt;=D$7,"n.m.",(SUMPRODUCT('OUT-DCF'!$C$9:$G$9,1/(1+$C10)^'OUT-DCF'!$C$11:$G$11)+'OUT-DCF'!$G$17*(1+D$7)/($C10-D$7)/(1+$C10)^'OUT-DCF'!$G$21+SUM('OUT-DCF'!$G$25:$G$28))/Assumptions!$D$9)</f>
        <v>144.31451264356625</v>
      </c>
      <c r="E10" s="41">
        <f>IF($C10&lt;=E$7,"n.m.",(SUMPRODUCT('OUT-DCF'!$C$9:$G$9,1/(1+$C10)^'OUT-DCF'!$C$11:$G$11)+'OUT-DCF'!$G$17*(1+E$7)/($C10-E$7)/(1+$C10)^'OUT-DCF'!$G$21+SUM('OUT-DCF'!$G$25:$G$28))/Assumptions!$D$9)</f>
        <v>147.25906906854689</v>
      </c>
      <c r="F10" s="41">
        <f>IF($C10&lt;=F$7,"n.m.",(SUMPRODUCT('OUT-DCF'!$C$9:$G$9,1/(1+$C10)^'OUT-DCF'!$C$11:$G$11)+'OUT-DCF'!$G$17*(1+F$7)/($C10-F$7)/(1+$C10)^'OUT-DCF'!$G$21+SUM('OUT-DCF'!$G$25:$G$28))/Assumptions!$D$9)</f>
        <v>150.37612261804489</v>
      </c>
      <c r="G10" s="41">
        <f>IF($C10&lt;=G$7,"n.m.",(SUMPRODUCT('OUT-DCF'!$C$9:$G$9,1/(1+$C10)^'OUT-DCF'!$C$11:$G$11)+'OUT-DCF'!$G$17*(1+G$7)/($C10-G$7)/(1+$C10)^'OUT-DCF'!$G$21+SUM('OUT-DCF'!$G$25:$G$28))/Assumptions!$D$9)</f>
        <v>153.68128843538759</v>
      </c>
      <c r="H10" s="41">
        <f>IF($C10&lt;=H$7,"n.m.",(SUMPRODUCT('OUT-DCF'!$C$9:$G$9,1/(1+$C10)^'OUT-DCF'!$C$11:$G$11)+'OUT-DCF'!$G$17*(1+H$7)/($C10-H$7)/(1+$C10)^'OUT-DCF'!$G$21+SUM('OUT-DCF'!$G$25:$G$28))/Assumptions!$D$9)</f>
        <v>157.19212503309529</v>
      </c>
      <c r="I10" s="41">
        <f>IF($C10&lt;=I$7,"n.m.",(SUMPRODUCT('OUT-DCF'!$C$9:$G$9,1/(1+$C10)^'OUT-DCF'!$C$11:$G$11)+'OUT-DCF'!$G$17*(1+I$7)/($C10-I$7)/(1+$C10)^'OUT-DCF'!$G$21+SUM('OUT-DCF'!$G$25:$G$28))/Assumptions!$D$9)</f>
        <v>160.92844632677961</v>
      </c>
      <c r="J10" s="41">
        <f>IF($C10&lt;=J$7,"n.m.",(SUMPRODUCT('OUT-DCF'!$C$9:$G$9,1/(1+$C10)^'OUT-DCF'!$C$11:$G$11)+'OUT-DCF'!$G$17*(1+J$7)/($C10-J$7)/(1+$C10)^'OUT-DCF'!$G$21+SUM('OUT-DCF'!$G$25:$G$28))/Assumptions!$D$9)</f>
        <v>164.91269578521303</v>
      </c>
    </row>
    <row r="11" spans="2:10" x14ac:dyDescent="0.2">
      <c r="C11" s="59">
        <f>'OUT-DCF'!$G$19+0*Assumptions!$D$58</f>
        <v>0.12285088434720604</v>
      </c>
      <c r="D11" s="41">
        <f>IF($C11&lt;=D$7,"n.m.",(SUMPRODUCT('OUT-DCF'!$C$9:$G$9,1/(1+$C11)^'OUT-DCF'!$C$11:$G$11)+'OUT-DCF'!$G$17*(1+D$7)/($C11-D$7)/(1+$C11)^'OUT-DCF'!$G$21+SUM('OUT-DCF'!$G$25:$G$28))/Assumptions!$D$9)</f>
        <v>130.7736081399471</v>
      </c>
      <c r="E11" s="41">
        <f>IF($C11&lt;=E$7,"n.m.",(SUMPRODUCT('OUT-DCF'!$C$9:$G$9,1/(1+$C11)^'OUT-DCF'!$C$11:$G$11)+'OUT-DCF'!$G$17*(1+E$7)/($C11-E$7)/(1+$C11)^'OUT-DCF'!$G$21+SUM('OUT-DCF'!$G$25:$G$28))/Assumptions!$D$9)</f>
        <v>133.08385586938763</v>
      </c>
      <c r="F11" s="41">
        <f>IF($C11&lt;=F$7,"n.m.",(SUMPRODUCT('OUT-DCF'!$C$9:$G$9,1/(1+$C11)^'OUT-DCF'!$C$11:$G$11)+'OUT-DCF'!$G$17*(1+F$7)/($C11-F$7)/(1+$C11)^'OUT-DCF'!$G$21+SUM('OUT-DCF'!$G$25:$G$28))/Assumptions!$D$9)</f>
        <v>135.51524813488871</v>
      </c>
      <c r="G11" s="56">
        <f>IF($C11&lt;=G$7,"n.m.",(SUMPRODUCT('OUT-DCF'!$C$9:$G$9,1/(1+$C11)^'OUT-DCF'!$C$11:$G$11)+'OUT-DCF'!$G$17*(1+G$7)/($C11-G$7)/(1+$C11)^'OUT-DCF'!$G$21+SUM('OUT-DCF'!$G$25:$G$28))/Assumptions!$D$9)</f>
        <v>138.07757034696996</v>
      </c>
      <c r="H11" s="41">
        <f>IF($C11&lt;=H$7,"n.m.",(SUMPRODUCT('OUT-DCF'!$C$9:$G$9,1/(1+$C11)^'OUT-DCF'!$C$11:$G$11)+'OUT-DCF'!$G$17*(1+H$7)/($C11-H$7)/(1+$C11)^'OUT-DCF'!$G$21+SUM('OUT-DCF'!$G$25:$G$28))/Assumptions!$D$9)</f>
        <v>140.78169096150157</v>
      </c>
      <c r="I11" s="41">
        <f>IF($C11&lt;=I$7,"n.m.",(SUMPRODUCT('OUT-DCF'!$C$9:$G$9,1/(1+$C11)^'OUT-DCF'!$C$11:$G$11)+'OUT-DCF'!$G$17*(1+I$7)/($C11-I$7)/(1+$C11)^'OUT-DCF'!$G$21+SUM('OUT-DCF'!$G$25:$G$28))/Assumptions!$D$9)</f>
        <v>143.6397155824996</v>
      </c>
      <c r="J11" s="41">
        <f>IF($C11&lt;=J$7,"n.m.",(SUMPRODUCT('OUT-DCF'!$C$9:$G$9,1/(1+$C11)^'OUT-DCF'!$C$11:$G$11)+'OUT-DCF'!$G$17*(1+J$7)/($C11-J$7)/(1+$C11)^'OUT-DCF'!$G$21+SUM('OUT-DCF'!$G$25:$G$28))/Assumptions!$D$9)</f>
        <v>146.66516814773385</v>
      </c>
    </row>
    <row r="12" spans="2:10" x14ac:dyDescent="0.2">
      <c r="C12" s="59">
        <f>'OUT-DCF'!$G$19+1*Assumptions!$D$58</f>
        <v>0.13285088434720604</v>
      </c>
      <c r="D12" s="41">
        <f>IF($C12&lt;=D$7,"n.m.",(SUMPRODUCT('OUT-DCF'!$C$9:$G$9,1/(1+$C12)^'OUT-DCF'!$C$11:$G$11)+'OUT-DCF'!$G$17*(1+D$7)/($C12-D$7)/(1+$C12)^'OUT-DCF'!$G$21+SUM('OUT-DCF'!$G$25:$G$28))/Assumptions!$D$9)</f>
        <v>119.70391059416933</v>
      </c>
      <c r="E12" s="41">
        <f>IF($C12&lt;=E$7,"n.m.",(SUMPRODUCT('OUT-DCF'!$C$9:$G$9,1/(1+$C12)^'OUT-DCF'!$C$11:$G$11)+'OUT-DCF'!$G$17*(1+E$7)/($C12-E$7)/(1+$C12)^'OUT-DCF'!$G$21+SUM('OUT-DCF'!$G$25:$G$28))/Assumptions!$D$9)</f>
        <v>121.55448232648067</v>
      </c>
      <c r="F12" s="41">
        <f>IF($C12&lt;=F$7,"n.m.",(SUMPRODUCT('OUT-DCF'!$C$9:$G$9,1/(1+$C12)^'OUT-DCF'!$C$11:$G$11)+'OUT-DCF'!$G$17*(1+F$7)/($C12-F$7)/(1+$C12)^'OUT-DCF'!$G$21+SUM('OUT-DCF'!$G$25:$G$28))/Assumptions!$D$9)</f>
        <v>123.49288301930707</v>
      </c>
      <c r="G12" s="41">
        <f>IF($C12&lt;=G$7,"n.m.",(SUMPRODUCT('OUT-DCF'!$C$9:$G$9,1/(1+$C12)^'OUT-DCF'!$C$11:$G$11)+'OUT-DCF'!$G$17*(1+G$7)/($C12-G$7)/(1+$C12)^'OUT-DCF'!$G$21+SUM('OUT-DCF'!$G$25:$G$28))/Assumptions!$D$9)</f>
        <v>125.52551725738344</v>
      </c>
      <c r="H12" s="41">
        <f>IF($C12&lt;=H$7,"n.m.",(SUMPRODUCT('OUT-DCF'!$C$9:$G$9,1/(1+$C12)^'OUT-DCF'!$C$11:$G$11)+'OUT-DCF'!$G$17*(1+H$7)/($C12-H$7)/(1+$C12)^'OUT-DCF'!$G$21+SUM('OUT-DCF'!$G$25:$G$28))/Assumptions!$D$9)</f>
        <v>127.65942784450736</v>
      </c>
      <c r="I12" s="41">
        <f>IF($C12&lt;=I$7,"n.m.",(SUMPRODUCT('OUT-DCF'!$C$9:$G$9,1/(1+$C12)^'OUT-DCF'!$C$11:$G$11)+'OUT-DCF'!$G$17*(1+I$7)/($C12-I$7)/(1+$C12)^'OUT-DCF'!$G$21+SUM('OUT-DCF'!$G$25:$G$28))/Assumptions!$D$9)</f>
        <v>129.90237733308635</v>
      </c>
      <c r="J12" s="41">
        <f>IF($C12&lt;=J$7,"n.m.",(SUMPRODUCT('OUT-DCF'!$C$9:$G$9,1/(1+$C12)^'OUT-DCF'!$C$11:$G$11)+'OUT-DCF'!$G$17*(1+J$7)/($C12-J$7)/(1+$C12)^'OUT-DCF'!$G$21+SUM('OUT-DCF'!$G$25:$G$28))/Assumptions!$D$9)</f>
        <v>132.26294237939896</v>
      </c>
    </row>
    <row r="13" spans="2:10" x14ac:dyDescent="0.2">
      <c r="C13" s="59">
        <f>'OUT-DCF'!$G$19+2*Assumptions!$D$58</f>
        <v>0.14285088434720603</v>
      </c>
      <c r="D13" s="41">
        <f>IF($C13&lt;=D$7,"n.m.",(SUMPRODUCT('OUT-DCF'!$C$9:$G$9,1/(1+$C13)^'OUT-DCF'!$C$11:$G$11)+'OUT-DCF'!$G$17*(1+D$7)/($C13-D$7)/(1+$C13)^'OUT-DCF'!$G$21+SUM('OUT-DCF'!$G$25:$G$28))/Assumptions!$D$9)</f>
        <v>110.48804733984188</v>
      </c>
      <c r="E13" s="41">
        <f>IF($C13&lt;=E$7,"n.m.",(SUMPRODUCT('OUT-DCF'!$C$9:$G$9,1/(1+$C13)^'OUT-DCF'!$C$11:$G$11)+'OUT-DCF'!$G$17*(1+E$7)/($C13-E$7)/(1+$C13)^'OUT-DCF'!$G$21+SUM('OUT-DCF'!$G$25:$G$28))/Assumptions!$D$9)</f>
        <v>111.99603261055846</v>
      </c>
      <c r="F13" s="41">
        <f>IF($C13&lt;=F$7,"n.m.",(SUMPRODUCT('OUT-DCF'!$C$9:$G$9,1/(1+$C13)^'OUT-DCF'!$C$11:$G$11)+'OUT-DCF'!$G$17*(1+F$7)/($C13-F$7)/(1+$C13)^'OUT-DCF'!$G$21+SUM('OUT-DCF'!$G$25:$G$28))/Assumptions!$D$9)</f>
        <v>113.56938301823308</v>
      </c>
      <c r="G13" s="41">
        <f>IF($C13&lt;=G$7,"n.m.",(SUMPRODUCT('OUT-DCF'!$C$9:$G$9,1/(1+$C13)^'OUT-DCF'!$C$11:$G$11)+'OUT-DCF'!$G$17*(1+G$7)/($C13-G$7)/(1+$C13)^'OUT-DCF'!$G$21+SUM('OUT-DCF'!$G$25:$G$28))/Assumptions!$D$9)</f>
        <v>115.21244268945379</v>
      </c>
      <c r="H13" s="41">
        <f>IF($C13&lt;=H$7,"n.m.",(SUMPRODUCT('OUT-DCF'!$C$9:$G$9,1/(1+$C13)^'OUT-DCF'!$C$11:$G$11)+'OUT-DCF'!$G$17*(1+H$7)/($C13-H$7)/(1+$C13)^'OUT-DCF'!$G$21+SUM('OUT-DCF'!$G$25:$G$28))/Assumptions!$D$9)</f>
        <v>116.92994941567281</v>
      </c>
      <c r="I13" s="41">
        <f>IF($C13&lt;=I$7,"n.m.",(SUMPRODUCT('OUT-DCF'!$C$9:$G$9,1/(1+$C13)^'OUT-DCF'!$C$11:$G$11)+'OUT-DCF'!$G$17*(1+I$7)/($C13-I$7)/(1+$C13)^'OUT-DCF'!$G$21+SUM('OUT-DCF'!$G$25:$G$28))/Assumptions!$D$9)</f>
        <v>118.72708027926511</v>
      </c>
      <c r="J13" s="41">
        <f>IF($C13&lt;=J$7,"n.m.",(SUMPRODUCT('OUT-DCF'!$C$9:$G$9,1/(1+$C13)^'OUT-DCF'!$C$11:$G$11)+'OUT-DCF'!$G$17*(1+J$7)/($C13-J$7)/(1+$C13)^'OUT-DCF'!$G$21+SUM('OUT-DCF'!$G$25:$G$28))/Assumptions!$D$9)</f>
        <v>120.60950377588695</v>
      </c>
    </row>
    <row r="14" spans="2:10" x14ac:dyDescent="0.2">
      <c r="C14" s="59">
        <f>'OUT-DCF'!$G$19+3*Assumptions!$D$58</f>
        <v>0.15285088434720603</v>
      </c>
      <c r="D14" s="41">
        <f>IF($C14&lt;=D$7,"n.m.",(SUMPRODUCT('OUT-DCF'!$C$9:$G$9,1/(1+$C14)^'OUT-DCF'!$C$11:$G$11)+'OUT-DCF'!$G$17*(1+D$7)/($C14-D$7)/(1+$C14)^'OUT-DCF'!$G$21+SUM('OUT-DCF'!$G$25:$G$28))/Assumptions!$D$9)</f>
        <v>102.69819670544547</v>
      </c>
      <c r="E14" s="41">
        <f>IF($C14&lt;=E$7,"n.m.",(SUMPRODUCT('OUT-DCF'!$C$9:$G$9,1/(1+$C14)^'OUT-DCF'!$C$11:$G$11)+'OUT-DCF'!$G$17*(1+E$7)/($C14-E$7)/(1+$C14)^'OUT-DCF'!$G$21+SUM('OUT-DCF'!$G$25:$G$28))/Assumptions!$D$9)</f>
        <v>103.94485136053656</v>
      </c>
      <c r="F14" s="41">
        <f>IF($C14&lt;=F$7,"n.m.",(SUMPRODUCT('OUT-DCF'!$C$9:$G$9,1/(1+$C14)^'OUT-DCF'!$C$11:$G$11)+'OUT-DCF'!$G$17*(1+F$7)/($C14-F$7)/(1+$C14)^'OUT-DCF'!$G$21+SUM('OUT-DCF'!$G$25:$G$28))/Assumptions!$D$9)</f>
        <v>105.24123261554685</v>
      </c>
      <c r="G14" s="41">
        <f>IF($C14&lt;=G$7,"n.m.",(SUMPRODUCT('OUT-DCF'!$C$9:$G$9,1/(1+$C14)^'OUT-DCF'!$C$11:$G$11)+'OUT-DCF'!$G$17*(1+G$7)/($C14-G$7)/(1+$C14)^'OUT-DCF'!$G$21+SUM('OUT-DCF'!$G$25:$G$28))/Assumptions!$D$9)</f>
        <v>106.59037626058388</v>
      </c>
      <c r="H14" s="41">
        <f>IF($C14&lt;=H$7,"n.m.",(SUMPRODUCT('OUT-DCF'!$C$9:$G$9,1/(1+$C14)^'OUT-DCF'!$C$11:$G$11)+'OUT-DCF'!$G$17*(1+H$7)/($C14-H$7)/(1+$C14)^'OUT-DCF'!$G$21+SUM('OUT-DCF'!$G$25:$G$28))/Assumptions!$D$9)</f>
        <v>107.99557033069065</v>
      </c>
      <c r="I14" s="41">
        <f>IF($C14&lt;=I$7,"n.m.",(SUMPRODUCT('OUT-DCF'!$C$9:$G$9,1/(1+$C14)^'OUT-DCF'!$C$11:$G$11)+'OUT-DCF'!$G$17*(1+I$7)/($C14-I$7)/(1+$C14)^'OUT-DCF'!$G$21+SUM('OUT-DCF'!$G$25:$G$28))/Assumptions!$D$9)</f>
        <v>109.46038186051744</v>
      </c>
      <c r="J14" s="41">
        <f>IF($C14&lt;=J$7,"n.m.",(SUMPRODUCT('OUT-DCF'!$C$9:$G$9,1/(1+$C14)^'OUT-DCF'!$C$11:$G$11)+'OUT-DCF'!$G$17*(1+J$7)/($C14-J$7)/(1+$C14)^'OUT-DCF'!$G$21+SUM('OUT-DCF'!$G$25:$G$28))/Assumptions!$D$9)</f>
        <v>110.98868711811738</v>
      </c>
    </row>
    <row r="16" spans="2:10" x14ac:dyDescent="0.2">
      <c r="B16" s="8" t="s">
        <v>300</v>
      </c>
      <c r="C16" s="9"/>
      <c r="D16" s="9"/>
      <c r="E16" s="9"/>
      <c r="F16" s="9"/>
      <c r="G16" s="9"/>
      <c r="H16" s="9"/>
      <c r="I16" s="9"/>
      <c r="J16" s="9"/>
    </row>
    <row r="18" spans="2:10" x14ac:dyDescent="0.2">
      <c r="C18" s="57" t="s">
        <v>299</v>
      </c>
      <c r="D18" s="58">
        <f t="shared" ref="D18:J18" si="0">D7</f>
        <v>2.2499999999999999E-2</v>
      </c>
      <c r="E18" s="58">
        <f t="shared" si="0"/>
        <v>2.4999999999999998E-2</v>
      </c>
      <c r="F18" s="58">
        <f t="shared" si="0"/>
        <v>2.75E-2</v>
      </c>
      <c r="G18" s="58">
        <f t="shared" si="0"/>
        <v>0.03</v>
      </c>
      <c r="H18" s="58">
        <f t="shared" si="0"/>
        <v>3.2500000000000001E-2</v>
      </c>
      <c r="I18" s="58">
        <f t="shared" si="0"/>
        <v>3.4999999999999996E-2</v>
      </c>
      <c r="J18" s="58">
        <f t="shared" si="0"/>
        <v>3.7499999999999999E-2</v>
      </c>
    </row>
    <row r="19" spans="2:10" x14ac:dyDescent="0.2">
      <c r="C19" s="59">
        <f t="shared" ref="C19:C25" si="1">C8</f>
        <v>9.2850884347206036E-2</v>
      </c>
      <c r="D19" s="35">
        <f>IF(ISNUMBER(D8),D8/Assumptions!$D$8-1,"n.m.")</f>
        <v>-0.20270243370755414</v>
      </c>
      <c r="E19" s="35">
        <f>IF(ISNUMBER(E8),E8/Assumptions!$D$8-1,"n.m.")</f>
        <v>-0.18004456955433634</v>
      </c>
      <c r="F19" s="35">
        <f>IF(ISNUMBER(F8),F8/Assumptions!$D$8-1,"n.m.")</f>
        <v>-0.15565315088387277</v>
      </c>
      <c r="G19" s="35">
        <f>IF(ISNUMBER(G8),G8/Assumptions!$D$8-1,"n.m.")</f>
        <v>-0.12932131252609713</v>
      </c>
      <c r="H19" s="35">
        <f>IF(ISNUMBER(H8),H8/Assumptions!$D$8-1,"n.m.")</f>
        <v>-0.10080791223740704</v>
      </c>
      <c r="I19" s="35">
        <f>IF(ISNUMBER(I8),I8/Assumptions!$D$8-1,"n.m.")</f>
        <v>-6.9830124358930101E-2</v>
      </c>
      <c r="J19" s="35">
        <f>IF(ISNUMBER(J8),J8/Assumptions!$D$8-1,"n.m.")</f>
        <v>-3.6054026368173564E-2</v>
      </c>
    </row>
    <row r="20" spans="2:10" x14ac:dyDescent="0.2">
      <c r="C20" s="59">
        <f t="shared" si="1"/>
        <v>0.10285088434720603</v>
      </c>
      <c r="D20" s="35">
        <f>IF(ISNUMBER(D9),D9/Assumptions!$D$8-1,"n.m.")</f>
        <v>-0.29759326220626903</v>
      </c>
      <c r="E20" s="35">
        <f>IF(ISNUMBER(E9),E9/Assumptions!$D$8-1,"n.m.")</f>
        <v>-0.28082068012857431</v>
      </c>
      <c r="F20" s="35">
        <f>IF(ISNUMBER(F9),F9/Assumptions!$D$8-1,"n.m.")</f>
        <v>-0.26293513287316472</v>
      </c>
      <c r="G20" s="35">
        <f>IF(ISNUMBER(G9),G9/Assumptions!$D$8-1,"n.m.")</f>
        <v>-0.24382204065274338</v>
      </c>
      <c r="H20" s="35">
        <f>IF(ISNUMBER(H9),H9/Assumptions!$D$8-1,"n.m.")</f>
        <v>-0.223350536779237</v>
      </c>
      <c r="I20" s="35">
        <f>IF(ISNUMBER(I9),I9/Assumptions!$D$8-1,"n.m.")</f>
        <v>-0.20137046716849205</v>
      </c>
      <c r="J20" s="35">
        <f>IF(ISNUMBER(J9),J9/Assumptions!$D$8-1,"n.m.")</f>
        <v>-0.1777087011407581</v>
      </c>
    </row>
    <row r="21" spans="2:10" x14ac:dyDescent="0.2">
      <c r="C21" s="59">
        <f t="shared" si="1"/>
        <v>0.11285088434720604</v>
      </c>
      <c r="D21" s="35">
        <f>IF(ISNUMBER(D10),D10/Assumptions!$D$8-1,"n.m.")</f>
        <v>-0.3713703330419208</v>
      </c>
      <c r="E21" s="35">
        <f>IF(ISNUMBER(E10),E10/Assumptions!$D$8-1,"n.m.")</f>
        <v>-0.35854393401338636</v>
      </c>
      <c r="F21" s="35">
        <f>IF(ISNUMBER(F10),F10/Assumptions!$D$8-1,"n.m.")</f>
        <v>-0.34496614271008885</v>
      </c>
      <c r="G21" s="35">
        <f>IF(ISNUMBER(G10),G10/Assumptions!$D$8-1,"n.m.")</f>
        <v>-0.33056894003838655</v>
      </c>
      <c r="H21" s="35">
        <f>IF(ISNUMBER(H10),H10/Assumptions!$D$8-1,"n.m.")</f>
        <v>-0.31527584164701272</v>
      </c>
      <c r="I21" s="35">
        <f>IF(ISNUMBER(I10),I10/Assumptions!$D$8-1,"n.m.")</f>
        <v>-0.29900053871682009</v>
      </c>
      <c r="J21" s="35">
        <f>IF(ISNUMBER(J10),J10/Assumptions!$D$8-1,"n.m.")</f>
        <v>-0.2816452681743562</v>
      </c>
    </row>
    <row r="22" spans="2:10" x14ac:dyDescent="0.2">
      <c r="C22" s="59">
        <f t="shared" si="1"/>
        <v>0.12285088434720604</v>
      </c>
      <c r="D22" s="35">
        <f>IF(ISNUMBER(D11),D11/Assumptions!$D$8-1,"n.m.")</f>
        <v>-0.43035410489198456</v>
      </c>
      <c r="E22" s="35">
        <f>IF(ISNUMBER(E11),E11/Assumptions!$D$8-1,"n.m.")</f>
        <v>-0.42029073542105833</v>
      </c>
      <c r="F22" s="35">
        <f>IF(ISNUMBER(F11),F11/Assumptions!$D$8-1,"n.m.")</f>
        <v>-0.40969966400274982</v>
      </c>
      <c r="G22" s="60">
        <f>IF(ISNUMBER(G11),G11/Assumptions!$D$8-1,"n.m.")</f>
        <v>-0.39853826568380024</v>
      </c>
      <c r="H22" s="35">
        <f>IF(ISNUMBER(H11),H11/Assumptions!$D$8-1,"n.m.")</f>
        <v>-0.38675919779805035</v>
      </c>
      <c r="I22" s="35">
        <f>IF(ISNUMBER(I11),I11/Assumptions!$D$8-1,"n.m.")</f>
        <v>-0.37430972869930912</v>
      </c>
      <c r="J22" s="35">
        <f>IF(ISNUMBER(J11),J11/Assumptions!$D$8-1,"n.m.")</f>
        <v>-0.36113094852230754</v>
      </c>
    </row>
    <row r="23" spans="2:10" x14ac:dyDescent="0.2">
      <c r="C23" s="59">
        <f t="shared" si="1"/>
        <v>0.13285088434720604</v>
      </c>
      <c r="D23" s="35">
        <f>IF(ISNUMBER(D12),D12/Assumptions!$D$8-1,"n.m.")</f>
        <v>-0.47857337372405218</v>
      </c>
      <c r="E23" s="35">
        <f>IF(ISNUMBER(E12),E12/Assumptions!$D$8-1,"n.m.")</f>
        <v>-0.47051233904046408</v>
      </c>
      <c r="F23" s="35">
        <f>IF(ISNUMBER(F12),F12/Assumptions!$D$8-1,"n.m.")</f>
        <v>-0.46206872405232791</v>
      </c>
      <c r="G23" s="35">
        <f>IF(ISNUMBER(G12),G12/Assumptions!$D$8-1,"n.m.")</f>
        <v>-0.45321463058159406</v>
      </c>
      <c r="H23" s="35">
        <f>IF(ISNUMBER(H12),H12/Assumptions!$D$8-1,"n.m.")</f>
        <v>-0.44391938038721368</v>
      </c>
      <c r="I23" s="35">
        <f>IF(ISNUMBER(I12),I12/Assumptions!$D$8-1,"n.m.")</f>
        <v>-0.43414916002488846</v>
      </c>
      <c r="J23" s="35">
        <f>IF(ISNUMBER(J12),J12/Assumptions!$D$8-1,"n.m.")</f>
        <v>-0.42386660983839797</v>
      </c>
    </row>
    <row r="24" spans="2:10" x14ac:dyDescent="0.2">
      <c r="C24" s="59">
        <f t="shared" si="1"/>
        <v>0.14285088434720603</v>
      </c>
      <c r="D24" s="35">
        <f>IF(ISNUMBER(D13),D13/Assumptions!$D$8-1,"n.m.")</f>
        <v>-0.51871739626326652</v>
      </c>
      <c r="E24" s="35">
        <f>IF(ISNUMBER(E13),E13/Assumptions!$D$8-1,"n.m.")</f>
        <v>-0.51214865787969477</v>
      </c>
      <c r="F24" s="35">
        <f>IF(ISNUMBER(F13),F13/Assumptions!$D$8-1,"n.m.")</f>
        <v>-0.50529519092985542</v>
      </c>
      <c r="G24" s="35">
        <f>IF(ISNUMBER(G13),G13/Assumptions!$D$8-1,"n.m.")</f>
        <v>-0.49813807252927733</v>
      </c>
      <c r="H24" s="35">
        <f>IF(ISNUMBER(H13),H13/Assumptions!$D$8-1,"n.m.")</f>
        <v>-0.49065666500120741</v>
      </c>
      <c r="I24" s="35">
        <f>IF(ISNUMBER(I13),I13/Assumptions!$D$8-1,"n.m.")</f>
        <v>-0.48282841713087465</v>
      </c>
      <c r="J24" s="35">
        <f>IF(ISNUMBER(J13),J13/Assumptions!$D$8-1,"n.m.")</f>
        <v>-0.4746286371220676</v>
      </c>
    </row>
    <row r="25" spans="2:10" x14ac:dyDescent="0.2">
      <c r="C25" s="59">
        <f t="shared" si="1"/>
        <v>0.15285088434720603</v>
      </c>
      <c r="D25" s="35">
        <f>IF(ISNUMBER(D14),D14/Assumptions!$D$8-1,"n.m.")</f>
        <v>-0.55264975081480383</v>
      </c>
      <c r="E25" s="35">
        <f>IF(ISNUMBER(E14),E14/Assumptions!$D$8-1,"n.m.")</f>
        <v>-0.54721936071552657</v>
      </c>
      <c r="F25" s="35">
        <f>IF(ISNUMBER(F14),F14/Assumptions!$D$8-1,"n.m.")</f>
        <v>-0.54157236304592571</v>
      </c>
      <c r="G25" s="35">
        <f>IF(ISNUMBER(G14),G14/Assumptions!$D$8-1,"n.m.")</f>
        <v>-0.53569553399580139</v>
      </c>
      <c r="H25" s="35">
        <f>IF(ISNUMBER(H14),H14/Assumptions!$D$8-1,"n.m.")</f>
        <v>-0.52957455098361872</v>
      </c>
      <c r="I25" s="35">
        <f>IF(ISNUMBER(I14),I14/Assumptions!$D$8-1,"n.m.")</f>
        <v>-0.52319387611396329</v>
      </c>
      <c r="J25" s="35">
        <f>IF(ISNUMBER(J14),J14/Assumptions!$D$8-1,"n.m.")</f>
        <v>-0.51653662448003934</v>
      </c>
    </row>
    <row r="27" spans="2:10" x14ac:dyDescent="0.2">
      <c r="B27" s="6" t="s">
        <v>301</v>
      </c>
      <c r="G27" s="52">
        <f>ROUND(G11-'OUT-DCF'!G31,6)</f>
        <v>0</v>
      </c>
    </row>
    <row r="29" spans="2:10" x14ac:dyDescent="0.2">
      <c r="B29" s="8" t="s">
        <v>302</v>
      </c>
      <c r="C29" s="9"/>
      <c r="D29" s="9"/>
      <c r="E29" s="9"/>
      <c r="F29" s="9"/>
      <c r="G29" s="9"/>
      <c r="H29" s="9"/>
      <c r="I29" s="9"/>
      <c r="J29" s="9"/>
    </row>
    <row r="30" spans="2:10" x14ac:dyDescent="0.2">
      <c r="B30" s="6" t="s">
        <v>303</v>
      </c>
      <c r="G30" s="28">
        <f>'OUT-DCF'!G23+SUM('OUT-DCF'!$G$25:$G$28)</f>
        <v>1176147.245156544</v>
      </c>
    </row>
    <row r="31" spans="2:10" x14ac:dyDescent="0.2">
      <c r="B31" s="6" t="s">
        <v>304</v>
      </c>
      <c r="G31" s="29">
        <f>Assumptions!D8*Assumptions!D9-G30</f>
        <v>4398960.2048434559</v>
      </c>
    </row>
    <row r="32" spans="2:10" x14ac:dyDescent="0.2">
      <c r="B32" s="6" t="s">
        <v>305</v>
      </c>
      <c r="G32" s="29">
        <f>G31*(1+'OUT-DCF'!G19)^'OUT-DCF'!G21</f>
        <v>7268727.0249877544</v>
      </c>
    </row>
    <row r="33" spans="2:7" x14ac:dyDescent="0.2">
      <c r="B33" s="6" t="s">
        <v>306</v>
      </c>
      <c r="G33" s="29">
        <f>G32*('OUT-DCF'!G19-'OUT-DCF'!G18)/(1+'OUT-DCF'!G18)</f>
        <v>655250.22558111546</v>
      </c>
    </row>
    <row r="34" spans="2:7" x14ac:dyDescent="0.2">
      <c r="B34" s="6" t="s">
        <v>307</v>
      </c>
      <c r="G34" s="28">
        <f>'OUT-DCF'!G17</f>
        <v>324286.48635954154</v>
      </c>
    </row>
    <row r="35" spans="2:7" x14ac:dyDescent="0.2">
      <c r="B35" s="3" t="s">
        <v>308</v>
      </c>
      <c r="G35" s="61">
        <f>G33/G34</f>
        <v>2.020590598569159</v>
      </c>
    </row>
    <row r="36" spans="2:7" x14ac:dyDescent="0.2">
      <c r="B36" s="3" t="s">
        <v>309</v>
      </c>
      <c r="G36" s="36">
        <f>(G32/'OUT-DCF'!G17*'OUT-DCF'!G19-1)/(G32/'OUT-DCF'!G17+1)</f>
        <v>7.4895567601556079E-2</v>
      </c>
    </row>
  </sheetData>
  <conditionalFormatting sqref="D19:J25">
    <cfRule type="expression" dxfId="1" priority="4">
      <formula>AND(ISNUMBER(D19),D19&gt;=0)</formula>
    </cfRule>
    <cfRule type="expression" dxfId="0" priority="5">
      <formula>AND(ISNUMBER(D19),D19&lt;0)</formula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700-000002000000}">
            <xm:f>AND(ISNUMBER(D8),D8&gt;=Assumptions!$D$8)</xm:f>
            <x14:dxf>
              <fill>
                <patternFill>
                  <bgColor rgb="FFC6EFCE"/>
                </patternFill>
              </fill>
            </x14:dxf>
          </x14:cfRule>
          <x14:cfRule type="expression" priority="3" id="{00000000-000E-0000-0700-000003000000}">
            <xm:f>AND(ISNUMBER(D8),D8&lt;Assumptions!$D$8)</xm:f>
            <x14:dxf>
              <fill>
                <patternFill>
                  <bgColor rgb="FFFFC7CE"/>
                </patternFill>
              </fill>
            </x14:dxf>
          </x14:cfRule>
          <xm:sqref>D8:J14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L36"/>
  <sheetViews>
    <sheetView showGridLines="0" topLeftCell="A12" zoomScale="120" zoomScaleNormal="120" workbookViewId="0">
      <selection activeCell="E40" sqref="E40"/>
    </sheetView>
  </sheetViews>
  <sheetFormatPr baseColWidth="10" defaultColWidth="8.6640625" defaultRowHeight="15" x14ac:dyDescent="0.2"/>
  <cols>
    <col min="1" max="1" width="2" customWidth="1"/>
    <col min="2" max="2" width="26" customWidth="1"/>
    <col min="3" max="3" width="9" customWidth="1"/>
    <col min="4" max="4" width="26" customWidth="1"/>
    <col min="5" max="11" width="10" customWidth="1"/>
    <col min="12" max="12" width="60" customWidth="1"/>
  </cols>
  <sheetData>
    <row r="2" spans="2:12" x14ac:dyDescent="0.2">
      <c r="B2" s="2" t="s">
        <v>310</v>
      </c>
    </row>
    <row r="3" spans="2:12" x14ac:dyDescent="0.2">
      <c r="B3" s="7" t="s">
        <v>17</v>
      </c>
    </row>
    <row r="5" spans="2:12" x14ac:dyDescent="0.2">
      <c r="B5" s="8" t="s">
        <v>311</v>
      </c>
      <c r="C5" s="9"/>
      <c r="D5" s="9"/>
      <c r="E5" s="9"/>
      <c r="F5" s="9"/>
      <c r="G5" s="9"/>
      <c r="H5" s="9"/>
      <c r="I5" s="9"/>
      <c r="J5" s="9"/>
      <c r="K5" s="9"/>
    </row>
    <row r="6" spans="2:12" ht="24" x14ac:dyDescent="0.2">
      <c r="B6" s="17" t="s">
        <v>201</v>
      </c>
      <c r="C6" s="17" t="s">
        <v>21</v>
      </c>
      <c r="D6" s="17" t="s">
        <v>202</v>
      </c>
      <c r="E6" s="17" t="s">
        <v>203</v>
      </c>
      <c r="F6" s="17" t="s">
        <v>312</v>
      </c>
      <c r="G6" s="17" t="s">
        <v>313</v>
      </c>
      <c r="H6" s="17" t="s">
        <v>314</v>
      </c>
      <c r="I6" s="17" t="s">
        <v>315</v>
      </c>
      <c r="J6" s="17" t="s">
        <v>204</v>
      </c>
      <c r="K6" s="17" t="s">
        <v>316</v>
      </c>
    </row>
    <row r="7" spans="2:12" x14ac:dyDescent="0.2">
      <c r="B7" s="6" t="s">
        <v>207</v>
      </c>
      <c r="C7" s="6" t="s">
        <v>208</v>
      </c>
      <c r="D7" s="6" t="s">
        <v>209</v>
      </c>
      <c r="E7" s="62">
        <v>18.010000000000002</v>
      </c>
      <c r="F7" s="62">
        <v>32.47</v>
      </c>
      <c r="G7" s="62">
        <v>18.97</v>
      </c>
      <c r="H7" s="62">
        <v>41.99</v>
      </c>
      <c r="I7" s="63">
        <v>1654.49</v>
      </c>
      <c r="J7" s="64">
        <v>1.48</v>
      </c>
      <c r="K7" s="37">
        <v>0.48570000000000002</v>
      </c>
      <c r="L7" s="7" t="s">
        <v>317</v>
      </c>
    </row>
    <row r="8" spans="2:12" x14ac:dyDescent="0.2">
      <c r="B8" s="6" t="s">
        <v>211</v>
      </c>
      <c r="C8" s="6" t="s">
        <v>212</v>
      </c>
      <c r="D8" s="6" t="s">
        <v>213</v>
      </c>
      <c r="E8" s="62">
        <v>38.33</v>
      </c>
      <c r="F8" s="62">
        <v>103.49</v>
      </c>
      <c r="G8" s="62">
        <v>23.84</v>
      </c>
      <c r="H8" s="62">
        <v>118.25</v>
      </c>
      <c r="I8" s="63">
        <v>993.68</v>
      </c>
      <c r="J8" s="64">
        <v>2.4500000000000002</v>
      </c>
      <c r="K8" s="37">
        <v>0.15709999999999999</v>
      </c>
    </row>
    <row r="9" spans="2:12" x14ac:dyDescent="0.2">
      <c r="B9" s="6" t="s">
        <v>215</v>
      </c>
      <c r="C9" s="6" t="s">
        <v>216</v>
      </c>
      <c r="D9" s="6" t="s">
        <v>217</v>
      </c>
      <c r="E9" s="62">
        <v>20.68</v>
      </c>
      <c r="F9" s="62">
        <v>22.45</v>
      </c>
      <c r="G9" s="62">
        <v>16.02</v>
      </c>
      <c r="H9" s="62">
        <v>59.24</v>
      </c>
      <c r="I9" s="63">
        <v>2363.7600000000002</v>
      </c>
      <c r="J9" s="64">
        <v>1.38</v>
      </c>
      <c r="K9" s="37">
        <v>0.55840000000000001</v>
      </c>
    </row>
    <row r="10" spans="2:12" x14ac:dyDescent="0.2">
      <c r="B10" s="6" t="s">
        <v>218</v>
      </c>
      <c r="C10" s="6" t="s">
        <v>219</v>
      </c>
      <c r="D10" s="6" t="s">
        <v>220</v>
      </c>
      <c r="E10" s="62">
        <v>5.0999999999999996</v>
      </c>
      <c r="F10" s="62">
        <v>10.4</v>
      </c>
      <c r="G10" s="62">
        <v>8.5500000000000007</v>
      </c>
      <c r="H10" s="62">
        <v>19.95</v>
      </c>
      <c r="I10" s="63">
        <v>1176.45</v>
      </c>
      <c r="J10" s="64">
        <v>2.23</v>
      </c>
      <c r="K10" s="37">
        <v>0.75009999999999999</v>
      </c>
    </row>
    <row r="11" spans="2:12" x14ac:dyDescent="0.2">
      <c r="B11" s="6" t="s">
        <v>221</v>
      </c>
      <c r="C11" s="6" t="s">
        <v>222</v>
      </c>
      <c r="D11" s="6" t="s">
        <v>223</v>
      </c>
      <c r="E11" s="62">
        <v>38.99</v>
      </c>
      <c r="F11" s="62">
        <v>81.91</v>
      </c>
      <c r="G11" s="62">
        <v>24.7</v>
      </c>
      <c r="H11" s="62">
        <v>134.02000000000001</v>
      </c>
      <c r="I11" s="63">
        <v>231.86</v>
      </c>
      <c r="J11" s="64">
        <v>2.2599999999999998</v>
      </c>
      <c r="K11" s="37">
        <v>0.1681</v>
      </c>
    </row>
    <row r="12" spans="2:12" x14ac:dyDescent="0.2">
      <c r="B12" s="6" t="s">
        <v>224</v>
      </c>
      <c r="C12" s="6" t="s">
        <v>225</v>
      </c>
      <c r="D12" s="6" t="s">
        <v>226</v>
      </c>
      <c r="E12" s="62">
        <v>18.12</v>
      </c>
      <c r="F12" s="62">
        <v>16.75</v>
      </c>
      <c r="G12" s="62">
        <v>4.53</v>
      </c>
      <c r="H12" s="62">
        <v>18.510000000000002</v>
      </c>
      <c r="I12" s="63">
        <v>192.83</v>
      </c>
      <c r="J12" s="64">
        <v>1.65</v>
      </c>
      <c r="K12" s="37">
        <v>0.23499999999999999</v>
      </c>
    </row>
    <row r="14" spans="2:12" x14ac:dyDescent="0.2">
      <c r="B14" s="6" t="s">
        <v>318</v>
      </c>
      <c r="E14" s="65">
        <f>MAX(E7:E12)</f>
        <v>38.99</v>
      </c>
      <c r="F14" s="65">
        <f>MAX(F7:F12)</f>
        <v>103.49</v>
      </c>
      <c r="G14" s="65">
        <f>MAX(G7:G12)</f>
        <v>24.7</v>
      </c>
      <c r="H14" s="65">
        <f>MAX(H7:H12)</f>
        <v>134.02000000000001</v>
      </c>
    </row>
    <row r="15" spans="2:12" x14ac:dyDescent="0.2">
      <c r="B15" s="6" t="s">
        <v>319</v>
      </c>
      <c r="E15" s="65">
        <f>QUARTILE(E7:E12,3)</f>
        <v>33.917499999999997</v>
      </c>
      <c r="F15" s="65">
        <f>QUARTILE(F7:F12,3)</f>
        <v>69.55</v>
      </c>
      <c r="G15" s="65">
        <f>QUARTILE(G7:G12,3)</f>
        <v>22.622499999999999</v>
      </c>
      <c r="H15" s="65">
        <f>QUARTILE(H7:H12,3)</f>
        <v>103.4975</v>
      </c>
    </row>
    <row r="16" spans="2:12" x14ac:dyDescent="0.2">
      <c r="B16" s="3" t="s">
        <v>227</v>
      </c>
      <c r="E16" s="66">
        <f>MEDIAN(E7:E12)</f>
        <v>19.399999999999999</v>
      </c>
      <c r="F16" s="66">
        <f>MEDIAN(F7:F12)</f>
        <v>27.46</v>
      </c>
      <c r="G16" s="66">
        <f>MEDIAN(G7:G12)</f>
        <v>17.494999999999997</v>
      </c>
      <c r="H16" s="66">
        <f>MEDIAN(H7:H12)</f>
        <v>50.615000000000002</v>
      </c>
    </row>
    <row r="17" spans="2:12" x14ac:dyDescent="0.2">
      <c r="B17" s="6" t="s">
        <v>320</v>
      </c>
      <c r="E17" s="65">
        <f>QUARTILE(E7:E12,1)</f>
        <v>18.037500000000001</v>
      </c>
      <c r="F17" s="65">
        <f>QUARTILE(F7:F12,1)</f>
        <v>18.175000000000001</v>
      </c>
      <c r="G17" s="65">
        <f>QUARTILE(G7:G12,1)</f>
        <v>10.4175</v>
      </c>
      <c r="H17" s="65">
        <f>QUARTILE(H7:H12,1)</f>
        <v>25.46</v>
      </c>
    </row>
    <row r="18" spans="2:12" x14ac:dyDescent="0.2">
      <c r="B18" s="6" t="s">
        <v>321</v>
      </c>
      <c r="E18" s="65">
        <f>MIN(E7:E12)</f>
        <v>5.0999999999999996</v>
      </c>
      <c r="F18" s="65">
        <f>MIN(F7:F12)</f>
        <v>10.4</v>
      </c>
      <c r="G18" s="65">
        <f>MIN(G7:G12)</f>
        <v>4.53</v>
      </c>
      <c r="H18" s="65">
        <f>MIN(H7:H12)</f>
        <v>18.510000000000002</v>
      </c>
    </row>
    <row r="20" spans="2:12" x14ac:dyDescent="0.2">
      <c r="B20" s="67" t="s">
        <v>322</v>
      </c>
      <c r="C20" s="68" t="s">
        <v>22</v>
      </c>
      <c r="D20" s="68"/>
      <c r="E20" s="69">
        <v>14.58</v>
      </c>
      <c r="F20" s="69">
        <v>27.19</v>
      </c>
      <c r="G20" s="69">
        <v>18.059999999999999</v>
      </c>
      <c r="H20" s="69">
        <v>43.57</v>
      </c>
      <c r="I20" s="70">
        <v>5533.6</v>
      </c>
      <c r="J20" s="71">
        <v>2.2200000000000002</v>
      </c>
      <c r="K20" s="72">
        <v>0.65210000000000001</v>
      </c>
    </row>
    <row r="22" spans="2:12" x14ac:dyDescent="0.2">
      <c r="B22" s="8" t="s">
        <v>323</v>
      </c>
      <c r="C22" s="9"/>
      <c r="D22" s="9"/>
      <c r="E22" s="9"/>
      <c r="F22" s="9"/>
      <c r="G22" s="9"/>
      <c r="H22" s="9"/>
      <c r="I22" s="9"/>
      <c r="J22" s="9"/>
      <c r="K22" s="9"/>
    </row>
    <row r="23" spans="2:12" x14ac:dyDescent="0.2">
      <c r="B23" s="6" t="s">
        <v>324</v>
      </c>
      <c r="G23" s="28">
        <f>'Historical Financials'!J14+'Historical Financials'!J24</f>
        <v>201266</v>
      </c>
    </row>
    <row r="24" spans="2:12" x14ac:dyDescent="0.2">
      <c r="B24" s="6" t="s">
        <v>325</v>
      </c>
      <c r="G24" s="51">
        <f>Assumptions!D8/E20</f>
        <v>15.745541838134431</v>
      </c>
      <c r="L24" s="7" t="s">
        <v>326</v>
      </c>
    </row>
    <row r="25" spans="2:12" x14ac:dyDescent="0.2">
      <c r="B25" s="6" t="s">
        <v>327</v>
      </c>
      <c r="G25" s="28">
        <f>'Historical Financials'!J7</f>
        <v>302970</v>
      </c>
    </row>
    <row r="26" spans="2:12" x14ac:dyDescent="0.2">
      <c r="B26" s="6" t="s">
        <v>328</v>
      </c>
      <c r="G26" s="28">
        <f>SUM('OUT-DCF'!G25:G28)</f>
        <v>117160</v>
      </c>
    </row>
    <row r="27" spans="2:12" x14ac:dyDescent="0.2">
      <c r="B27" s="6" t="s">
        <v>329</v>
      </c>
      <c r="G27" s="51">
        <f>AVERAGE('Operating Model Output'!C16:G16)</f>
        <v>12.762207090945655</v>
      </c>
    </row>
    <row r="28" spans="2:12" x14ac:dyDescent="0.2">
      <c r="B28" s="6" t="s">
        <v>330</v>
      </c>
      <c r="G28" s="51">
        <f>'Operating Model Output'!D16</f>
        <v>12.744967171247684</v>
      </c>
    </row>
    <row r="30" spans="2:12" x14ac:dyDescent="0.2">
      <c r="B30" s="8" t="s">
        <v>331</v>
      </c>
      <c r="C30" s="9"/>
      <c r="D30" s="9"/>
      <c r="E30" s="9"/>
      <c r="F30" s="9"/>
      <c r="G30" s="9"/>
      <c r="H30" s="9"/>
      <c r="I30" s="9"/>
      <c r="J30" s="9"/>
      <c r="K30" s="9"/>
    </row>
    <row r="31" spans="2:12" ht="36" x14ac:dyDescent="0.2">
      <c r="B31" s="17" t="s">
        <v>332</v>
      </c>
      <c r="C31" s="17"/>
      <c r="D31" s="17"/>
      <c r="E31" s="17" t="s">
        <v>333</v>
      </c>
      <c r="F31" s="17" t="s">
        <v>334</v>
      </c>
      <c r="G31" s="17" t="s">
        <v>335</v>
      </c>
      <c r="H31" s="17" t="s">
        <v>336</v>
      </c>
      <c r="I31" s="17"/>
      <c r="J31" s="17"/>
      <c r="K31" s="17"/>
    </row>
    <row r="32" spans="2:12" x14ac:dyDescent="0.2">
      <c r="B32" s="6" t="s">
        <v>318</v>
      </c>
      <c r="E32" s="41">
        <f>E14*$G$24</f>
        <v>613.91867626886153</v>
      </c>
      <c r="F32" s="41">
        <f>(F14*$G$23+$G$26)/Assumptions!$D$9</f>
        <v>862.51506444307188</v>
      </c>
      <c r="G32" s="41">
        <f>(G14*$G$25+$G$26)/Assumptions!$D$9</f>
        <v>312.97175211035619</v>
      </c>
      <c r="H32" s="41">
        <f>E14*$G$28</f>
        <v>496.92627000694722</v>
      </c>
      <c r="L32" s="7" t="s">
        <v>337</v>
      </c>
    </row>
    <row r="33" spans="2:8" x14ac:dyDescent="0.2">
      <c r="B33" s="6" t="s">
        <v>319</v>
      </c>
      <c r="E33" s="41">
        <f>E15*$G$24</f>
        <v>534.04941529492453</v>
      </c>
      <c r="F33" s="41">
        <f>(F15*$G$23+$G$26)/Assumptions!$D$9</f>
        <v>581.23163681284734</v>
      </c>
      <c r="G33" s="41">
        <f>(G15*$G$25+$G$26)/Assumptions!$D$9</f>
        <v>287.05368849083794</v>
      </c>
      <c r="H33" s="41">
        <f>E15*$G$28</f>
        <v>432.27742403079327</v>
      </c>
    </row>
    <row r="34" spans="2:8" x14ac:dyDescent="0.2">
      <c r="B34" s="3" t="s">
        <v>227</v>
      </c>
      <c r="E34" s="73">
        <f>E16*$G$24</f>
        <v>305.46351165980792</v>
      </c>
      <c r="F34" s="73">
        <f>(F16*$G$23+$G$26)/Assumptions!$D$9</f>
        <v>232.40372081531811</v>
      </c>
      <c r="G34" s="73">
        <f>(G16*$G$25+$G$26)/Assumptions!$D$9</f>
        <v>223.08503808935555</v>
      </c>
      <c r="H34" s="73">
        <f>E16*$G$28</f>
        <v>247.25236312220505</v>
      </c>
    </row>
    <row r="35" spans="2:8" x14ac:dyDescent="0.2">
      <c r="B35" s="6" t="s">
        <v>320</v>
      </c>
      <c r="E35" s="41">
        <f>E17*$G$24</f>
        <v>284.01021090534982</v>
      </c>
      <c r="F35" s="41">
        <f>(F17*$G$23+$G$26)/Assumptions!$D$9</f>
        <v>155.4527300802965</v>
      </c>
      <c r="G35" s="41">
        <f>(G17*$G$25+$G$26)/Assumptions!$D$9</f>
        <v>134.78896335186329</v>
      </c>
      <c r="H35" s="41">
        <f>E17*$G$28</f>
        <v>229.88734535138011</v>
      </c>
    </row>
    <row r="36" spans="2:8" x14ac:dyDescent="0.2">
      <c r="B36" s="6" t="s">
        <v>321</v>
      </c>
      <c r="E36" s="41">
        <f>E18*$G$24</f>
        <v>80.302263374485591</v>
      </c>
      <c r="F36" s="41">
        <f>(F18*$G$23+$G$26)/Assumptions!$D$9</f>
        <v>91.01611694461603</v>
      </c>
      <c r="G36" s="41">
        <f>(G18*$G$25+$G$26)/Assumptions!$D$9</f>
        <v>61.338855260448838</v>
      </c>
      <c r="H36" s="41">
        <f>E18*$G$28</f>
        <v>64.999332573363176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F62"/>
  <sheetViews>
    <sheetView showGridLines="0" zoomScaleNormal="100" workbookViewId="0">
      <selection activeCell="F7" sqref="F7"/>
    </sheetView>
  </sheetViews>
  <sheetFormatPr baseColWidth="10" defaultColWidth="8.6640625" defaultRowHeight="15" x14ac:dyDescent="0.2"/>
  <cols>
    <col min="1" max="1" width="2" customWidth="1"/>
    <col min="2" max="2" width="46" customWidth="1"/>
    <col min="3" max="6" width="11" customWidth="1"/>
    <col min="7" max="7" width="2" customWidth="1"/>
    <col min="8" max="8" width="60" customWidth="1"/>
  </cols>
  <sheetData>
    <row r="2" spans="2:6" x14ac:dyDescent="0.2">
      <c r="B2" s="2" t="s">
        <v>338</v>
      </c>
    </row>
    <row r="3" spans="2:6" x14ac:dyDescent="0.2">
      <c r="B3" s="7" t="s">
        <v>17</v>
      </c>
    </row>
    <row r="5" spans="2:6" x14ac:dyDescent="0.2">
      <c r="B5" s="8" t="s">
        <v>339</v>
      </c>
      <c r="C5" s="9"/>
      <c r="D5" s="9"/>
      <c r="E5" s="9"/>
      <c r="F5" s="9"/>
    </row>
    <row r="6" spans="2:6" x14ac:dyDescent="0.2">
      <c r="B6" s="6" t="s">
        <v>24</v>
      </c>
      <c r="F6" s="74">
        <f>Assumptions!D8</f>
        <v>229.57</v>
      </c>
    </row>
    <row r="7" spans="2:6" x14ac:dyDescent="0.2">
      <c r="B7" s="3" t="s">
        <v>340</v>
      </c>
      <c r="F7" s="74">
        <f>'OUT-DCF'!G31</f>
        <v>138.07757034696996</v>
      </c>
    </row>
    <row r="8" spans="2:6" x14ac:dyDescent="0.2">
      <c r="B8" s="3" t="s">
        <v>292</v>
      </c>
      <c r="F8" s="75">
        <f>F7/F6-1</f>
        <v>-0.39853826568380024</v>
      </c>
    </row>
    <row r="9" spans="2:6" x14ac:dyDescent="0.2">
      <c r="B9" s="6" t="s">
        <v>43</v>
      </c>
      <c r="F9" s="76" t="str">
        <f>Assumptions!D21</f>
        <v>Base</v>
      </c>
    </row>
    <row r="10" spans="2:6" x14ac:dyDescent="0.2">
      <c r="B10" s="6" t="s">
        <v>341</v>
      </c>
      <c r="F10" s="77">
        <f>'Cost of Equity'!J28</f>
        <v>0.12285088434720604</v>
      </c>
    </row>
    <row r="11" spans="2:6" x14ac:dyDescent="0.2">
      <c r="B11" s="6" t="s">
        <v>342</v>
      </c>
      <c r="F11" s="78">
        <f>'DCF Sensitivity'!G36</f>
        <v>7.4895567601556079E-2</v>
      </c>
    </row>
    <row r="12" spans="2:6" x14ac:dyDescent="0.2">
      <c r="B12" s="6" t="s">
        <v>343</v>
      </c>
      <c r="F12" s="79">
        <f>'DCF Sensitivity'!G35</f>
        <v>2.020590598569159</v>
      </c>
    </row>
    <row r="14" spans="2:6" x14ac:dyDescent="0.2">
      <c r="B14" s="8" t="s">
        <v>344</v>
      </c>
      <c r="C14" s="9"/>
      <c r="D14" s="9"/>
      <c r="E14" s="9"/>
      <c r="F14" s="9"/>
    </row>
    <row r="15" spans="2:6" x14ac:dyDescent="0.2">
      <c r="B15" s="17" t="s">
        <v>345</v>
      </c>
      <c r="C15" s="17" t="s">
        <v>321</v>
      </c>
      <c r="D15" s="17" t="s">
        <v>318</v>
      </c>
      <c r="E15" s="17" t="s">
        <v>346</v>
      </c>
      <c r="F15" s="17" t="s">
        <v>347</v>
      </c>
    </row>
    <row r="16" spans="2:6" x14ac:dyDescent="0.2">
      <c r="B16" s="6" t="s">
        <v>348</v>
      </c>
      <c r="C16" s="28">
        <f>MIN('Price History'!B5:B256)</f>
        <v>165.17</v>
      </c>
      <c r="D16" s="28">
        <f>MAX('Price History'!B5:B256)</f>
        <v>235.74</v>
      </c>
      <c r="E16" s="29">
        <f t="shared" ref="E16:E22" si="0">AVERAGE(C16:D16)</f>
        <v>200.45499999999998</v>
      </c>
      <c r="F16" s="29">
        <f t="shared" ref="F16:F22" si="1">D16-C16</f>
        <v>70.570000000000022</v>
      </c>
    </row>
    <row r="17" spans="2:6" x14ac:dyDescent="0.2">
      <c r="B17" s="6" t="s">
        <v>349</v>
      </c>
      <c r="C17" s="28">
        <f>'Comps Valuation'!E35</f>
        <v>284.01021090534982</v>
      </c>
      <c r="D17" s="28">
        <f>'Comps Valuation'!E33</f>
        <v>534.04941529492453</v>
      </c>
      <c r="E17" s="29">
        <f t="shared" si="0"/>
        <v>409.02981310013718</v>
      </c>
      <c r="F17" s="29">
        <f t="shared" si="1"/>
        <v>250.03920438957471</v>
      </c>
    </row>
    <row r="18" spans="2:6" x14ac:dyDescent="0.2">
      <c r="B18" s="6" t="s">
        <v>350</v>
      </c>
      <c r="C18" s="28">
        <f>'Comps Valuation'!F35</f>
        <v>155.4527300802965</v>
      </c>
      <c r="D18" s="28">
        <f>'Comps Valuation'!F33</f>
        <v>581.23163681284734</v>
      </c>
      <c r="E18" s="29">
        <f t="shared" si="0"/>
        <v>368.34218344657194</v>
      </c>
      <c r="F18" s="29">
        <f t="shared" si="1"/>
        <v>425.77890673255081</v>
      </c>
    </row>
    <row r="19" spans="2:6" x14ac:dyDescent="0.2">
      <c r="B19" s="6" t="s">
        <v>351</v>
      </c>
      <c r="C19" s="28">
        <f>'Comps Valuation'!H35</f>
        <v>229.88734535138011</v>
      </c>
      <c r="D19" s="28">
        <f>'Comps Valuation'!H33</f>
        <v>432.27742403079327</v>
      </c>
      <c r="E19" s="29">
        <f t="shared" si="0"/>
        <v>331.0823846910867</v>
      </c>
      <c r="F19" s="29">
        <f t="shared" si="1"/>
        <v>202.39007867941316</v>
      </c>
    </row>
    <row r="20" spans="2:6" x14ac:dyDescent="0.2">
      <c r="B20" s="6" t="s">
        <v>352</v>
      </c>
      <c r="C20" s="28">
        <f>MIN('DCF Sensitivity'!F10:H12)</f>
        <v>123.49288301930707</v>
      </c>
      <c r="D20" s="28">
        <f>MAX('DCF Sensitivity'!F10:H12)</f>
        <v>157.19212503309529</v>
      </c>
      <c r="E20" s="29">
        <f t="shared" si="0"/>
        <v>140.3425040262012</v>
      </c>
      <c r="F20" s="29">
        <f t="shared" si="1"/>
        <v>33.699242013788222</v>
      </c>
    </row>
    <row r="21" spans="2:6" x14ac:dyDescent="0.2">
      <c r="B21" s="6" t="s">
        <v>353</v>
      </c>
      <c r="C21" s="29">
        <f>C53</f>
        <v>66.962431432072705</v>
      </c>
      <c r="D21" s="29">
        <f>E53</f>
        <v>222.999598081719</v>
      </c>
      <c r="E21" s="29">
        <f t="shared" si="0"/>
        <v>144.98101475689586</v>
      </c>
      <c r="F21" s="29">
        <f t="shared" si="1"/>
        <v>156.03716664964628</v>
      </c>
    </row>
    <row r="22" spans="2:6" x14ac:dyDescent="0.2">
      <c r="B22" s="6" t="str">
        <f>"Current share price ("&amp;TEXT(Assumptions!D8,"$0.00")&amp;")"</f>
        <v>Current share price ($229.57)</v>
      </c>
      <c r="C22" s="28">
        <f>Assumptions!D8-1</f>
        <v>228.57</v>
      </c>
      <c r="D22" s="28">
        <f>Assumptions!D8+1</f>
        <v>230.57</v>
      </c>
      <c r="E22" s="29">
        <f t="shared" si="0"/>
        <v>229.57</v>
      </c>
      <c r="F22" s="29">
        <f t="shared" si="1"/>
        <v>2</v>
      </c>
    </row>
    <row r="43" spans="2:6" x14ac:dyDescent="0.2">
      <c r="B43" s="8" t="s">
        <v>354</v>
      </c>
      <c r="C43" s="9"/>
      <c r="D43" s="9"/>
      <c r="E43" s="9"/>
      <c r="F43" s="9"/>
    </row>
    <row r="44" spans="2:6" ht="45.75" customHeight="1" x14ac:dyDescent="0.2">
      <c r="B44" s="1" t="s">
        <v>355</v>
      </c>
      <c r="C44" s="1"/>
      <c r="D44" s="1"/>
      <c r="E44" s="1"/>
      <c r="F44" s="1"/>
    </row>
    <row r="45" spans="2:6" ht="45.75" customHeight="1" x14ac:dyDescent="0.2">
      <c r="B45" s="1" t="s">
        <v>356</v>
      </c>
      <c r="C45" s="1"/>
      <c r="D45" s="1"/>
      <c r="E45" s="1"/>
      <c r="F45" s="1"/>
    </row>
    <row r="46" spans="2:6" ht="45.75" customHeight="1" x14ac:dyDescent="0.2">
      <c r="B46" s="1" t="s">
        <v>357</v>
      </c>
      <c r="C46" s="1"/>
      <c r="D46" s="1"/>
      <c r="E46" s="1"/>
      <c r="F46" s="1"/>
    </row>
    <row r="47" spans="2:6" ht="45.75" customHeight="1" x14ac:dyDescent="0.2">
      <c r="B47" s="1" t="s">
        <v>358</v>
      </c>
      <c r="C47" s="1"/>
      <c r="D47" s="1"/>
      <c r="E47" s="1"/>
      <c r="F47" s="1"/>
    </row>
    <row r="48" spans="2:6" ht="45.75" customHeight="1" x14ac:dyDescent="0.2">
      <c r="B48" s="1" t="s">
        <v>359</v>
      </c>
      <c r="C48" s="1"/>
      <c r="D48" s="1"/>
      <c r="E48" s="1"/>
      <c r="F48" s="1"/>
    </row>
    <row r="51" spans="2:6" x14ac:dyDescent="0.2">
      <c r="B51" s="8" t="s">
        <v>360</v>
      </c>
      <c r="C51" s="9"/>
      <c r="D51" s="9"/>
      <c r="E51" s="9"/>
      <c r="F51" s="9"/>
    </row>
    <row r="52" spans="2:6" x14ac:dyDescent="0.2">
      <c r="B52" s="17" t="s">
        <v>361</v>
      </c>
      <c r="C52" s="17" t="s">
        <v>46</v>
      </c>
      <c r="D52" s="17" t="s">
        <v>45</v>
      </c>
      <c r="E52" s="17" t="s">
        <v>47</v>
      </c>
      <c r="F52" s="17"/>
    </row>
    <row r="53" spans="2:6" x14ac:dyDescent="0.2">
      <c r="B53" s="6" t="s">
        <v>290</v>
      </c>
      <c r="C53" s="80">
        <v>66.962431432072705</v>
      </c>
      <c r="D53" s="80">
        <v>138.07757034696999</v>
      </c>
      <c r="E53" s="80">
        <v>222.999598081719</v>
      </c>
    </row>
    <row r="54" spans="2:6" x14ac:dyDescent="0.2">
      <c r="B54" s="6" t="s">
        <v>292</v>
      </c>
      <c r="C54" s="81">
        <v>-0.70831366715131505</v>
      </c>
      <c r="D54" s="81">
        <v>-0.39853826568380002</v>
      </c>
      <c r="E54" s="81">
        <v>-2.8620472702358801E-2</v>
      </c>
    </row>
    <row r="55" spans="2:6" x14ac:dyDescent="0.2">
      <c r="B55" s="6" t="s">
        <v>362</v>
      </c>
      <c r="C55" s="34">
        <v>389033.63</v>
      </c>
      <c r="D55" s="34">
        <v>403849.93</v>
      </c>
      <c r="E55" s="34">
        <v>418202.38</v>
      </c>
    </row>
    <row r="56" spans="2:6" x14ac:dyDescent="0.2">
      <c r="B56" s="6" t="s">
        <v>363</v>
      </c>
      <c r="C56" s="34">
        <v>380136.72298159997</v>
      </c>
      <c r="D56" s="34">
        <v>718484.24465999997</v>
      </c>
      <c r="E56" s="34">
        <v>1001272.55004</v>
      </c>
    </row>
    <row r="57" spans="2:6" x14ac:dyDescent="0.2">
      <c r="B57" s="6" t="s">
        <v>364</v>
      </c>
      <c r="C57" s="37">
        <v>0.46585579393636201</v>
      </c>
      <c r="D57" s="37">
        <v>0.56029201555846098</v>
      </c>
      <c r="E57" s="37">
        <v>0.62808409618747296</v>
      </c>
    </row>
    <row r="58" spans="2:6" x14ac:dyDescent="0.2">
      <c r="B58" s="6" t="s">
        <v>365</v>
      </c>
      <c r="C58" s="80">
        <v>9.4816582056907492</v>
      </c>
      <c r="D58" s="80">
        <v>12.7449671712477</v>
      </c>
      <c r="E58" s="80">
        <v>15.4580817463867</v>
      </c>
    </row>
    <row r="59" spans="2:6" x14ac:dyDescent="0.2">
      <c r="B59" s="6" t="s">
        <v>366</v>
      </c>
      <c r="C59" s="80">
        <v>5.9795303194954599</v>
      </c>
      <c r="D59" s="80">
        <v>13.7585183462082</v>
      </c>
      <c r="E59" s="80">
        <v>21.752605570867999</v>
      </c>
    </row>
    <row r="60" spans="2:6" x14ac:dyDescent="0.2">
      <c r="B60" s="6" t="s">
        <v>367</v>
      </c>
      <c r="C60" s="37">
        <v>0.58368201022153199</v>
      </c>
      <c r="D60" s="37">
        <v>0.67275351030750696</v>
      </c>
      <c r="E60" s="37">
        <v>0.729095337441377</v>
      </c>
    </row>
    <row r="62" spans="2:6" x14ac:dyDescent="0.2">
      <c r="B62" s="7" t="s">
        <v>368</v>
      </c>
    </row>
  </sheetData>
  <mergeCells count="5">
    <mergeCell ref="B44:F44"/>
    <mergeCell ref="B45:F45"/>
    <mergeCell ref="B46:F46"/>
    <mergeCell ref="B47:F47"/>
    <mergeCell ref="B48:F48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256"/>
  <sheetViews>
    <sheetView showGridLines="0" zoomScaleNormal="100" workbookViewId="0"/>
  </sheetViews>
  <sheetFormatPr baseColWidth="10" defaultColWidth="8.6640625" defaultRowHeight="15" x14ac:dyDescent="0.2"/>
  <cols>
    <col min="1" max="2" width="12" customWidth="1"/>
  </cols>
  <sheetData>
    <row r="1" spans="1:2" x14ac:dyDescent="0.2">
      <c r="A1" s="3" t="s">
        <v>369</v>
      </c>
    </row>
    <row r="4" spans="1:2" x14ac:dyDescent="0.2">
      <c r="A4" s="3" t="s">
        <v>370</v>
      </c>
      <c r="B4" s="3" t="s">
        <v>371</v>
      </c>
    </row>
    <row r="5" spans="1:2" x14ac:dyDescent="0.2">
      <c r="A5" s="82">
        <v>46296</v>
      </c>
      <c r="B5" s="64">
        <v>229.57</v>
      </c>
    </row>
    <row r="6" spans="1:2" x14ac:dyDescent="0.2">
      <c r="A6" s="82">
        <v>46295</v>
      </c>
      <c r="B6" s="64">
        <v>228.38</v>
      </c>
    </row>
    <row r="7" spans="1:2" x14ac:dyDescent="0.2">
      <c r="A7" s="82">
        <v>46294</v>
      </c>
      <c r="B7" s="64">
        <v>227.21</v>
      </c>
    </row>
    <row r="8" spans="1:2" x14ac:dyDescent="0.2">
      <c r="A8" s="82">
        <v>46293</v>
      </c>
      <c r="B8" s="64">
        <v>228.86</v>
      </c>
    </row>
    <row r="9" spans="1:2" x14ac:dyDescent="0.2">
      <c r="A9" s="82">
        <v>46290</v>
      </c>
      <c r="B9" s="64">
        <v>225.07</v>
      </c>
    </row>
    <row r="10" spans="1:2" x14ac:dyDescent="0.2">
      <c r="A10" s="82">
        <v>46289</v>
      </c>
      <c r="B10" s="64">
        <v>224.58</v>
      </c>
    </row>
    <row r="11" spans="1:2" x14ac:dyDescent="0.2">
      <c r="A11" s="82">
        <v>46288</v>
      </c>
      <c r="B11" s="64">
        <v>225.51</v>
      </c>
    </row>
    <row r="12" spans="1:2" x14ac:dyDescent="0.2">
      <c r="A12" s="82">
        <v>46287</v>
      </c>
      <c r="B12" s="64">
        <v>228.87</v>
      </c>
    </row>
    <row r="13" spans="1:2" x14ac:dyDescent="0.2">
      <c r="A13" s="82">
        <v>46286</v>
      </c>
      <c r="B13" s="64">
        <v>227.38</v>
      </c>
    </row>
    <row r="14" spans="1:2" x14ac:dyDescent="0.2">
      <c r="A14" s="82">
        <v>46283</v>
      </c>
      <c r="B14" s="64">
        <v>222.27</v>
      </c>
    </row>
    <row r="15" spans="1:2" x14ac:dyDescent="0.2">
      <c r="A15" s="82">
        <v>46282</v>
      </c>
      <c r="B15" s="64">
        <v>219.34</v>
      </c>
    </row>
    <row r="16" spans="1:2" x14ac:dyDescent="0.2">
      <c r="A16" s="82">
        <v>46281</v>
      </c>
      <c r="B16" s="64">
        <v>213.9</v>
      </c>
    </row>
    <row r="17" spans="1:2" x14ac:dyDescent="0.2">
      <c r="A17" s="82">
        <v>46280</v>
      </c>
      <c r="B17" s="64">
        <v>212.17</v>
      </c>
    </row>
    <row r="18" spans="1:2" x14ac:dyDescent="0.2">
      <c r="A18" s="82">
        <v>46279</v>
      </c>
      <c r="B18" s="64">
        <v>210.96</v>
      </c>
    </row>
    <row r="19" spans="1:2" x14ac:dyDescent="0.2">
      <c r="A19" s="82">
        <v>46276</v>
      </c>
      <c r="B19" s="64">
        <v>218.29</v>
      </c>
    </row>
    <row r="20" spans="1:2" x14ac:dyDescent="0.2">
      <c r="A20" s="82">
        <v>46275</v>
      </c>
      <c r="B20" s="64">
        <v>218.36</v>
      </c>
    </row>
    <row r="21" spans="1:2" x14ac:dyDescent="0.2">
      <c r="A21" s="82">
        <v>46274</v>
      </c>
      <c r="B21" s="64">
        <v>223.67</v>
      </c>
    </row>
    <row r="22" spans="1:2" x14ac:dyDescent="0.2">
      <c r="A22" s="82">
        <v>46273</v>
      </c>
      <c r="B22" s="64">
        <v>225.73</v>
      </c>
    </row>
    <row r="23" spans="1:2" x14ac:dyDescent="0.2">
      <c r="A23" s="82">
        <v>46269</v>
      </c>
      <c r="B23" s="64">
        <v>230.36</v>
      </c>
    </row>
    <row r="24" spans="1:2" x14ac:dyDescent="0.2">
      <c r="A24" s="82">
        <v>46268</v>
      </c>
      <c r="B24" s="64">
        <v>228.45</v>
      </c>
    </row>
    <row r="25" spans="1:2" x14ac:dyDescent="0.2">
      <c r="A25" s="82">
        <v>46267</v>
      </c>
      <c r="B25" s="64">
        <v>224.41</v>
      </c>
    </row>
    <row r="26" spans="1:2" x14ac:dyDescent="0.2">
      <c r="A26" s="82">
        <v>46266</v>
      </c>
      <c r="B26" s="64">
        <v>217.44</v>
      </c>
    </row>
    <row r="27" spans="1:2" x14ac:dyDescent="0.2">
      <c r="A27" s="82">
        <v>46265</v>
      </c>
      <c r="B27" s="64">
        <v>220.78</v>
      </c>
    </row>
    <row r="28" spans="1:2" x14ac:dyDescent="0.2">
      <c r="A28" s="82">
        <v>46262</v>
      </c>
      <c r="B28" s="64">
        <v>217.55</v>
      </c>
    </row>
    <row r="29" spans="1:2" x14ac:dyDescent="0.2">
      <c r="A29" s="82">
        <v>46261</v>
      </c>
      <c r="B29" s="64">
        <v>227.98</v>
      </c>
    </row>
    <row r="30" spans="1:2" x14ac:dyDescent="0.2">
      <c r="A30" s="82">
        <v>46260</v>
      </c>
      <c r="B30" s="64">
        <v>209.66</v>
      </c>
    </row>
    <row r="31" spans="1:2" x14ac:dyDescent="0.2">
      <c r="A31" s="82">
        <v>46259</v>
      </c>
      <c r="B31" s="64">
        <v>213.05</v>
      </c>
    </row>
    <row r="32" spans="1:2" x14ac:dyDescent="0.2">
      <c r="A32" s="82">
        <v>46258</v>
      </c>
      <c r="B32" s="64">
        <v>208.48</v>
      </c>
    </row>
    <row r="33" spans="1:2" x14ac:dyDescent="0.2">
      <c r="A33" s="82">
        <v>46255</v>
      </c>
      <c r="B33" s="64">
        <v>214.72</v>
      </c>
    </row>
    <row r="34" spans="1:2" x14ac:dyDescent="0.2">
      <c r="A34" s="82">
        <v>46254</v>
      </c>
      <c r="B34" s="64">
        <v>216.85</v>
      </c>
    </row>
    <row r="35" spans="1:2" x14ac:dyDescent="0.2">
      <c r="A35" s="82">
        <v>46253</v>
      </c>
      <c r="B35" s="64">
        <v>217.56</v>
      </c>
    </row>
    <row r="36" spans="1:2" x14ac:dyDescent="0.2">
      <c r="A36" s="82">
        <v>46252</v>
      </c>
      <c r="B36" s="64">
        <v>219.74</v>
      </c>
    </row>
    <row r="37" spans="1:2" x14ac:dyDescent="0.2">
      <c r="A37" s="82">
        <v>46251</v>
      </c>
      <c r="B37" s="64">
        <v>225.01</v>
      </c>
    </row>
    <row r="38" spans="1:2" x14ac:dyDescent="0.2">
      <c r="A38" s="82">
        <v>46248</v>
      </c>
      <c r="B38" s="64">
        <v>225.16</v>
      </c>
    </row>
    <row r="39" spans="1:2" x14ac:dyDescent="0.2">
      <c r="A39" s="82">
        <v>46247</v>
      </c>
      <c r="B39" s="64">
        <v>225.3</v>
      </c>
    </row>
    <row r="40" spans="1:2" x14ac:dyDescent="0.2">
      <c r="A40" s="82">
        <v>46246</v>
      </c>
      <c r="B40" s="64">
        <v>224.09</v>
      </c>
    </row>
    <row r="41" spans="1:2" x14ac:dyDescent="0.2">
      <c r="A41" s="82">
        <v>46245</v>
      </c>
      <c r="B41" s="64">
        <v>217.5</v>
      </c>
    </row>
    <row r="42" spans="1:2" x14ac:dyDescent="0.2">
      <c r="A42" s="82">
        <v>46244</v>
      </c>
      <c r="B42" s="64">
        <v>217.55</v>
      </c>
    </row>
    <row r="43" spans="1:2" x14ac:dyDescent="0.2">
      <c r="A43" s="82">
        <v>46241</v>
      </c>
      <c r="B43" s="64">
        <v>223.96</v>
      </c>
    </row>
    <row r="44" spans="1:2" x14ac:dyDescent="0.2">
      <c r="A44" s="82">
        <v>46240</v>
      </c>
      <c r="B44" s="64">
        <v>218.99</v>
      </c>
    </row>
    <row r="45" spans="1:2" x14ac:dyDescent="0.2">
      <c r="A45" s="82">
        <v>46239</v>
      </c>
      <c r="B45" s="64">
        <v>219.22</v>
      </c>
    </row>
    <row r="46" spans="1:2" x14ac:dyDescent="0.2">
      <c r="A46" s="82">
        <v>46238</v>
      </c>
      <c r="B46" s="64">
        <v>211.94</v>
      </c>
    </row>
    <row r="47" spans="1:2" x14ac:dyDescent="0.2">
      <c r="A47" s="82">
        <v>46237</v>
      </c>
      <c r="B47" s="64">
        <v>206.64</v>
      </c>
    </row>
    <row r="48" spans="1:2" x14ac:dyDescent="0.2">
      <c r="A48" s="82">
        <v>46234</v>
      </c>
      <c r="B48" s="64">
        <v>200.75</v>
      </c>
    </row>
    <row r="49" spans="1:2" x14ac:dyDescent="0.2">
      <c r="A49" s="82">
        <v>46233</v>
      </c>
      <c r="B49" s="64">
        <v>195.04</v>
      </c>
    </row>
    <row r="50" spans="1:2" x14ac:dyDescent="0.2">
      <c r="A50" s="82">
        <v>46232</v>
      </c>
      <c r="B50" s="64">
        <v>190.01</v>
      </c>
    </row>
    <row r="51" spans="1:2" x14ac:dyDescent="0.2">
      <c r="A51" s="82">
        <v>46231</v>
      </c>
      <c r="B51" s="64">
        <v>197.01</v>
      </c>
    </row>
    <row r="52" spans="1:2" x14ac:dyDescent="0.2">
      <c r="A52" s="82">
        <v>46230</v>
      </c>
      <c r="B52" s="64">
        <v>196.51</v>
      </c>
    </row>
    <row r="53" spans="1:2" x14ac:dyDescent="0.2">
      <c r="A53" s="82">
        <v>46227</v>
      </c>
      <c r="B53" s="64">
        <v>206.84</v>
      </c>
    </row>
    <row r="54" spans="1:2" x14ac:dyDescent="0.2">
      <c r="A54" s="82">
        <v>46226</v>
      </c>
      <c r="B54" s="64">
        <v>208.76</v>
      </c>
    </row>
    <row r="55" spans="1:2" x14ac:dyDescent="0.2">
      <c r="A55" s="82">
        <v>46225</v>
      </c>
      <c r="B55" s="64">
        <v>212.06</v>
      </c>
    </row>
    <row r="56" spans="1:2" x14ac:dyDescent="0.2">
      <c r="A56" s="82">
        <v>46224</v>
      </c>
      <c r="B56" s="64">
        <v>207.29</v>
      </c>
    </row>
    <row r="57" spans="1:2" x14ac:dyDescent="0.2">
      <c r="A57" s="82">
        <v>46223</v>
      </c>
      <c r="B57" s="64">
        <v>203.28</v>
      </c>
    </row>
    <row r="58" spans="1:2" x14ac:dyDescent="0.2">
      <c r="A58" s="82">
        <v>46220</v>
      </c>
      <c r="B58" s="64">
        <v>202.81</v>
      </c>
    </row>
    <row r="59" spans="1:2" x14ac:dyDescent="0.2">
      <c r="A59" s="82">
        <v>46219</v>
      </c>
      <c r="B59" s="64">
        <v>207.4</v>
      </c>
    </row>
    <row r="60" spans="1:2" x14ac:dyDescent="0.2">
      <c r="A60" s="82">
        <v>46218</v>
      </c>
      <c r="B60" s="64">
        <v>212.5</v>
      </c>
    </row>
    <row r="61" spans="1:2" x14ac:dyDescent="0.2">
      <c r="A61" s="82">
        <v>46217</v>
      </c>
      <c r="B61" s="64">
        <v>211.8</v>
      </c>
    </row>
    <row r="62" spans="1:2" x14ac:dyDescent="0.2">
      <c r="A62" s="82">
        <v>46216</v>
      </c>
      <c r="B62" s="64">
        <v>203.53</v>
      </c>
    </row>
    <row r="63" spans="1:2" x14ac:dyDescent="0.2">
      <c r="A63" s="82">
        <v>46213</v>
      </c>
      <c r="B63" s="64">
        <v>210.96</v>
      </c>
    </row>
    <row r="64" spans="1:2" x14ac:dyDescent="0.2">
      <c r="A64" s="82">
        <v>46212</v>
      </c>
      <c r="B64" s="64">
        <v>202.78</v>
      </c>
    </row>
    <row r="65" spans="1:2" x14ac:dyDescent="0.2">
      <c r="A65" s="82">
        <v>46211</v>
      </c>
      <c r="B65" s="64">
        <v>204.12</v>
      </c>
    </row>
    <row r="66" spans="1:2" x14ac:dyDescent="0.2">
      <c r="A66" s="82">
        <v>46210</v>
      </c>
      <c r="B66" s="64">
        <v>196.93</v>
      </c>
    </row>
    <row r="67" spans="1:2" x14ac:dyDescent="0.2">
      <c r="A67" s="82">
        <v>46209</v>
      </c>
      <c r="B67" s="64">
        <v>195.55</v>
      </c>
    </row>
    <row r="68" spans="1:2" x14ac:dyDescent="0.2">
      <c r="A68" s="82">
        <v>46205</v>
      </c>
      <c r="B68" s="64">
        <v>194.83</v>
      </c>
    </row>
    <row r="69" spans="1:2" x14ac:dyDescent="0.2">
      <c r="A69" s="82">
        <v>46204</v>
      </c>
      <c r="B69" s="64">
        <v>197.58</v>
      </c>
    </row>
    <row r="70" spans="1:2" x14ac:dyDescent="0.2">
      <c r="A70" s="82">
        <v>46203</v>
      </c>
      <c r="B70" s="64">
        <v>200.09</v>
      </c>
    </row>
    <row r="71" spans="1:2" x14ac:dyDescent="0.2">
      <c r="A71" s="82">
        <v>46202</v>
      </c>
      <c r="B71" s="64">
        <v>194.97</v>
      </c>
    </row>
    <row r="72" spans="1:2" x14ac:dyDescent="0.2">
      <c r="A72" s="82">
        <v>46199</v>
      </c>
      <c r="B72" s="64">
        <v>192.53</v>
      </c>
    </row>
    <row r="73" spans="1:2" x14ac:dyDescent="0.2">
      <c r="A73" s="82">
        <v>46198</v>
      </c>
      <c r="B73" s="64">
        <v>195.74</v>
      </c>
    </row>
    <row r="74" spans="1:2" x14ac:dyDescent="0.2">
      <c r="A74" s="82">
        <v>46197</v>
      </c>
      <c r="B74" s="64">
        <v>199</v>
      </c>
    </row>
    <row r="75" spans="1:2" x14ac:dyDescent="0.2">
      <c r="A75" s="82">
        <v>46196</v>
      </c>
      <c r="B75" s="64">
        <v>200.04</v>
      </c>
    </row>
    <row r="76" spans="1:2" x14ac:dyDescent="0.2">
      <c r="A76" s="82">
        <v>46195</v>
      </c>
      <c r="B76" s="64">
        <v>208.65</v>
      </c>
    </row>
    <row r="77" spans="1:2" x14ac:dyDescent="0.2">
      <c r="A77" s="82">
        <v>46191</v>
      </c>
      <c r="B77" s="64">
        <v>210.69</v>
      </c>
    </row>
    <row r="78" spans="1:2" x14ac:dyDescent="0.2">
      <c r="A78" s="82">
        <v>46190</v>
      </c>
      <c r="B78" s="64">
        <v>204.65</v>
      </c>
    </row>
    <row r="79" spans="1:2" x14ac:dyDescent="0.2">
      <c r="A79" s="82">
        <v>46189</v>
      </c>
      <c r="B79" s="64">
        <v>207.41</v>
      </c>
    </row>
    <row r="80" spans="1:2" x14ac:dyDescent="0.2">
      <c r="A80" s="82">
        <v>46188</v>
      </c>
      <c r="B80" s="64">
        <v>212.45</v>
      </c>
    </row>
    <row r="81" spans="1:2" x14ac:dyDescent="0.2">
      <c r="A81" s="82">
        <v>46185</v>
      </c>
      <c r="B81" s="64">
        <v>205.19</v>
      </c>
    </row>
    <row r="82" spans="1:2" x14ac:dyDescent="0.2">
      <c r="A82" s="82">
        <v>46184</v>
      </c>
      <c r="B82" s="64">
        <v>204.87</v>
      </c>
    </row>
    <row r="83" spans="1:2" x14ac:dyDescent="0.2">
      <c r="A83" s="82">
        <v>46183</v>
      </c>
      <c r="B83" s="64">
        <v>200.42</v>
      </c>
    </row>
    <row r="84" spans="1:2" x14ac:dyDescent="0.2">
      <c r="A84" s="82">
        <v>46182</v>
      </c>
      <c r="B84" s="64">
        <v>208.19</v>
      </c>
    </row>
    <row r="85" spans="1:2" x14ac:dyDescent="0.2">
      <c r="A85" s="82">
        <v>46181</v>
      </c>
      <c r="B85" s="64">
        <v>208.64</v>
      </c>
    </row>
    <row r="86" spans="1:2" x14ac:dyDescent="0.2">
      <c r="A86" s="82">
        <v>46178</v>
      </c>
      <c r="B86" s="64">
        <v>205.1</v>
      </c>
    </row>
    <row r="87" spans="1:2" x14ac:dyDescent="0.2">
      <c r="A87" s="82">
        <v>46177</v>
      </c>
      <c r="B87" s="64">
        <v>218.66</v>
      </c>
    </row>
    <row r="88" spans="1:2" x14ac:dyDescent="0.2">
      <c r="A88" s="82">
        <v>46176</v>
      </c>
      <c r="B88" s="64">
        <v>214.75</v>
      </c>
    </row>
    <row r="89" spans="1:2" x14ac:dyDescent="0.2">
      <c r="A89" s="82">
        <v>46175</v>
      </c>
      <c r="B89" s="64">
        <v>222.82</v>
      </c>
    </row>
    <row r="90" spans="1:2" x14ac:dyDescent="0.2">
      <c r="A90" s="82">
        <v>46174</v>
      </c>
      <c r="B90" s="64">
        <v>224.36</v>
      </c>
    </row>
    <row r="91" spans="1:2" x14ac:dyDescent="0.2">
      <c r="A91" s="82">
        <v>46171</v>
      </c>
      <c r="B91" s="64">
        <v>211.14</v>
      </c>
    </row>
    <row r="92" spans="1:2" x14ac:dyDescent="0.2">
      <c r="A92" s="82">
        <v>46170</v>
      </c>
      <c r="B92" s="64">
        <v>214.25</v>
      </c>
    </row>
    <row r="93" spans="1:2" x14ac:dyDescent="0.2">
      <c r="A93" s="82">
        <v>46169</v>
      </c>
      <c r="B93" s="64">
        <v>212.6</v>
      </c>
    </row>
    <row r="94" spans="1:2" x14ac:dyDescent="0.2">
      <c r="A94" s="82">
        <v>46168</v>
      </c>
      <c r="B94" s="64">
        <v>214.86</v>
      </c>
    </row>
    <row r="95" spans="1:2" x14ac:dyDescent="0.2">
      <c r="A95" s="82">
        <v>46164</v>
      </c>
      <c r="B95" s="64">
        <v>215.33</v>
      </c>
    </row>
    <row r="96" spans="1:2" x14ac:dyDescent="0.2">
      <c r="A96" s="82">
        <v>46163</v>
      </c>
      <c r="B96" s="64">
        <v>219.51</v>
      </c>
    </row>
    <row r="97" spans="1:2" x14ac:dyDescent="0.2">
      <c r="A97" s="82">
        <v>46162</v>
      </c>
      <c r="B97" s="64">
        <v>223.47</v>
      </c>
    </row>
    <row r="98" spans="1:2" x14ac:dyDescent="0.2">
      <c r="A98" s="82">
        <v>46161</v>
      </c>
      <c r="B98" s="64">
        <v>220.61</v>
      </c>
    </row>
    <row r="99" spans="1:2" x14ac:dyDescent="0.2">
      <c r="A99" s="82">
        <v>46160</v>
      </c>
      <c r="B99" s="64">
        <v>222.32</v>
      </c>
    </row>
    <row r="100" spans="1:2" x14ac:dyDescent="0.2">
      <c r="A100" s="82">
        <v>46157</v>
      </c>
      <c r="B100" s="64">
        <v>225.32</v>
      </c>
    </row>
    <row r="101" spans="1:2" x14ac:dyDescent="0.2">
      <c r="A101" s="82">
        <v>46156</v>
      </c>
      <c r="B101" s="64">
        <v>235.74</v>
      </c>
    </row>
    <row r="102" spans="1:2" x14ac:dyDescent="0.2">
      <c r="A102" s="82">
        <v>46155</v>
      </c>
      <c r="B102" s="64">
        <v>225.83</v>
      </c>
    </row>
    <row r="103" spans="1:2" x14ac:dyDescent="0.2">
      <c r="A103" s="82">
        <v>46154</v>
      </c>
      <c r="B103" s="64">
        <v>220.78</v>
      </c>
    </row>
    <row r="104" spans="1:2" x14ac:dyDescent="0.2">
      <c r="A104" s="82">
        <v>46153</v>
      </c>
      <c r="B104" s="64">
        <v>219.44</v>
      </c>
    </row>
    <row r="105" spans="1:2" x14ac:dyDescent="0.2">
      <c r="A105" s="82">
        <v>46150</v>
      </c>
      <c r="B105" s="64">
        <v>215.2</v>
      </c>
    </row>
    <row r="106" spans="1:2" x14ac:dyDescent="0.2">
      <c r="A106" s="82">
        <v>46149</v>
      </c>
      <c r="B106" s="64">
        <v>211.5</v>
      </c>
    </row>
    <row r="107" spans="1:2" x14ac:dyDescent="0.2">
      <c r="A107" s="82">
        <v>46148</v>
      </c>
      <c r="B107" s="64">
        <v>207.83</v>
      </c>
    </row>
    <row r="108" spans="1:2" x14ac:dyDescent="0.2">
      <c r="A108" s="82">
        <v>46147</v>
      </c>
      <c r="B108" s="64">
        <v>196.5</v>
      </c>
    </row>
    <row r="109" spans="1:2" x14ac:dyDescent="0.2">
      <c r="A109" s="82">
        <v>46146</v>
      </c>
      <c r="B109" s="64">
        <v>198.48</v>
      </c>
    </row>
    <row r="110" spans="1:2" x14ac:dyDescent="0.2">
      <c r="A110" s="82">
        <v>46143</v>
      </c>
      <c r="B110" s="64">
        <v>198.45</v>
      </c>
    </row>
    <row r="111" spans="1:2" x14ac:dyDescent="0.2">
      <c r="A111" s="82">
        <v>46142</v>
      </c>
      <c r="B111" s="64">
        <v>199.57</v>
      </c>
    </row>
    <row r="112" spans="1:2" x14ac:dyDescent="0.2">
      <c r="A112" s="82">
        <v>46141</v>
      </c>
      <c r="B112" s="64">
        <v>209.25</v>
      </c>
    </row>
    <row r="113" spans="1:2" x14ac:dyDescent="0.2">
      <c r="A113" s="82">
        <v>46140</v>
      </c>
      <c r="B113" s="64">
        <v>213.17</v>
      </c>
    </row>
    <row r="114" spans="1:2" x14ac:dyDescent="0.2">
      <c r="A114" s="82">
        <v>46139</v>
      </c>
      <c r="B114" s="64">
        <v>216.61</v>
      </c>
    </row>
    <row r="115" spans="1:2" x14ac:dyDescent="0.2">
      <c r="A115" s="82">
        <v>46136</v>
      </c>
      <c r="B115" s="64">
        <v>208.27</v>
      </c>
    </row>
    <row r="116" spans="1:2" x14ac:dyDescent="0.2">
      <c r="A116" s="82">
        <v>46135</v>
      </c>
      <c r="B116" s="64">
        <v>199.64</v>
      </c>
    </row>
    <row r="117" spans="1:2" x14ac:dyDescent="0.2">
      <c r="A117" s="82">
        <v>46134</v>
      </c>
      <c r="B117" s="64">
        <v>202.5</v>
      </c>
    </row>
    <row r="118" spans="1:2" x14ac:dyDescent="0.2">
      <c r="A118" s="82">
        <v>46133</v>
      </c>
      <c r="B118" s="64">
        <v>199.88</v>
      </c>
    </row>
    <row r="119" spans="1:2" x14ac:dyDescent="0.2">
      <c r="A119" s="82">
        <v>46132</v>
      </c>
      <c r="B119" s="64">
        <v>202.06</v>
      </c>
    </row>
    <row r="120" spans="1:2" x14ac:dyDescent="0.2">
      <c r="A120" s="82">
        <v>46129</v>
      </c>
      <c r="B120" s="64">
        <v>201.68</v>
      </c>
    </row>
    <row r="121" spans="1:2" x14ac:dyDescent="0.2">
      <c r="A121" s="82">
        <v>46128</v>
      </c>
      <c r="B121" s="64">
        <v>198.35</v>
      </c>
    </row>
    <row r="122" spans="1:2" x14ac:dyDescent="0.2">
      <c r="A122" s="82">
        <v>46127</v>
      </c>
      <c r="B122" s="64">
        <v>198.87</v>
      </c>
    </row>
    <row r="123" spans="1:2" x14ac:dyDescent="0.2">
      <c r="A123" s="82">
        <v>46126</v>
      </c>
      <c r="B123" s="64">
        <v>196.51</v>
      </c>
    </row>
    <row r="124" spans="1:2" x14ac:dyDescent="0.2">
      <c r="A124" s="82">
        <v>46125</v>
      </c>
      <c r="B124" s="64">
        <v>189.31</v>
      </c>
    </row>
    <row r="125" spans="1:2" x14ac:dyDescent="0.2">
      <c r="A125" s="82">
        <v>46122</v>
      </c>
      <c r="B125" s="64">
        <v>188.63</v>
      </c>
    </row>
    <row r="126" spans="1:2" x14ac:dyDescent="0.2">
      <c r="A126" s="82">
        <v>46121</v>
      </c>
      <c r="B126" s="64">
        <v>183.91</v>
      </c>
    </row>
    <row r="127" spans="1:2" x14ac:dyDescent="0.2">
      <c r="A127" s="82">
        <v>46120</v>
      </c>
      <c r="B127" s="64">
        <v>182.08</v>
      </c>
    </row>
    <row r="128" spans="1:2" x14ac:dyDescent="0.2">
      <c r="A128" s="82">
        <v>46119</v>
      </c>
      <c r="B128" s="64">
        <v>178.1</v>
      </c>
    </row>
    <row r="129" spans="1:2" x14ac:dyDescent="0.2">
      <c r="A129" s="82">
        <v>46118</v>
      </c>
      <c r="B129" s="64">
        <v>177.64</v>
      </c>
    </row>
    <row r="130" spans="1:2" x14ac:dyDescent="0.2">
      <c r="A130" s="82">
        <v>46114</v>
      </c>
      <c r="B130" s="64">
        <v>177.39</v>
      </c>
    </row>
    <row r="131" spans="1:2" x14ac:dyDescent="0.2">
      <c r="A131" s="82">
        <v>46113</v>
      </c>
      <c r="B131" s="64">
        <v>175.75</v>
      </c>
    </row>
    <row r="132" spans="1:2" x14ac:dyDescent="0.2">
      <c r="A132" s="82">
        <v>46112</v>
      </c>
      <c r="B132" s="64">
        <v>174.4</v>
      </c>
    </row>
    <row r="133" spans="1:2" x14ac:dyDescent="0.2">
      <c r="A133" s="82">
        <v>46111</v>
      </c>
      <c r="B133" s="64">
        <v>165.17</v>
      </c>
    </row>
    <row r="134" spans="1:2" x14ac:dyDescent="0.2">
      <c r="A134" s="82">
        <v>46108</v>
      </c>
      <c r="B134" s="64">
        <v>167.52</v>
      </c>
    </row>
    <row r="135" spans="1:2" x14ac:dyDescent="0.2">
      <c r="A135" s="82">
        <v>46107</v>
      </c>
      <c r="B135" s="64">
        <v>171.24</v>
      </c>
    </row>
    <row r="136" spans="1:2" x14ac:dyDescent="0.2">
      <c r="A136" s="82">
        <v>46106</v>
      </c>
      <c r="B136" s="64">
        <v>178.68</v>
      </c>
    </row>
    <row r="137" spans="1:2" x14ac:dyDescent="0.2">
      <c r="A137" s="82">
        <v>46105</v>
      </c>
      <c r="B137" s="64">
        <v>175.2</v>
      </c>
    </row>
    <row r="138" spans="1:2" x14ac:dyDescent="0.2">
      <c r="A138" s="82">
        <v>46104</v>
      </c>
      <c r="B138" s="64">
        <v>175.64</v>
      </c>
    </row>
    <row r="139" spans="1:2" x14ac:dyDescent="0.2">
      <c r="A139" s="82">
        <v>46101</v>
      </c>
      <c r="B139" s="64">
        <v>172.7</v>
      </c>
    </row>
    <row r="140" spans="1:2" x14ac:dyDescent="0.2">
      <c r="A140" s="82">
        <v>46100</v>
      </c>
      <c r="B140" s="64">
        <v>178.56</v>
      </c>
    </row>
    <row r="141" spans="1:2" x14ac:dyDescent="0.2">
      <c r="A141" s="82">
        <v>46099</v>
      </c>
      <c r="B141" s="64">
        <v>180.4</v>
      </c>
    </row>
    <row r="142" spans="1:2" x14ac:dyDescent="0.2">
      <c r="A142" s="82">
        <v>46098</v>
      </c>
      <c r="B142" s="64">
        <v>181.93</v>
      </c>
    </row>
    <row r="143" spans="1:2" x14ac:dyDescent="0.2">
      <c r="A143" s="82">
        <v>46097</v>
      </c>
      <c r="B143" s="64">
        <v>183.22</v>
      </c>
    </row>
    <row r="144" spans="1:2" x14ac:dyDescent="0.2">
      <c r="A144" s="82">
        <v>46094</v>
      </c>
      <c r="B144" s="64">
        <v>180.25</v>
      </c>
    </row>
    <row r="145" spans="1:2" x14ac:dyDescent="0.2">
      <c r="A145" s="82">
        <v>46093</v>
      </c>
      <c r="B145" s="64">
        <v>183.14</v>
      </c>
    </row>
    <row r="146" spans="1:2" x14ac:dyDescent="0.2">
      <c r="A146" s="82">
        <v>46092</v>
      </c>
      <c r="B146" s="64">
        <v>186.03</v>
      </c>
    </row>
    <row r="147" spans="1:2" x14ac:dyDescent="0.2">
      <c r="A147" s="82">
        <v>46091</v>
      </c>
      <c r="B147" s="64">
        <v>184.77</v>
      </c>
    </row>
    <row r="148" spans="1:2" x14ac:dyDescent="0.2">
      <c r="A148" s="82">
        <v>46090</v>
      </c>
      <c r="B148" s="64">
        <v>182.65</v>
      </c>
    </row>
    <row r="149" spans="1:2" x14ac:dyDescent="0.2">
      <c r="A149" s="82">
        <v>46087</v>
      </c>
      <c r="B149" s="64">
        <v>177.82</v>
      </c>
    </row>
    <row r="150" spans="1:2" x14ac:dyDescent="0.2">
      <c r="A150" s="82">
        <v>46086</v>
      </c>
      <c r="B150" s="64">
        <v>183.34</v>
      </c>
    </row>
    <row r="151" spans="1:2" x14ac:dyDescent="0.2">
      <c r="A151" s="82">
        <v>46085</v>
      </c>
      <c r="B151" s="64">
        <v>183.04</v>
      </c>
    </row>
    <row r="152" spans="1:2" x14ac:dyDescent="0.2">
      <c r="A152" s="82">
        <v>46084</v>
      </c>
      <c r="B152" s="64">
        <v>180.05</v>
      </c>
    </row>
    <row r="153" spans="1:2" x14ac:dyDescent="0.2">
      <c r="A153" s="82">
        <v>46083</v>
      </c>
      <c r="B153" s="64">
        <v>182.48</v>
      </c>
    </row>
    <row r="154" spans="1:2" x14ac:dyDescent="0.2">
      <c r="A154" s="82">
        <v>46080</v>
      </c>
      <c r="B154" s="64">
        <v>177.19</v>
      </c>
    </row>
    <row r="155" spans="1:2" x14ac:dyDescent="0.2">
      <c r="A155" s="82">
        <v>46079</v>
      </c>
      <c r="B155" s="64">
        <v>184.89</v>
      </c>
    </row>
    <row r="156" spans="1:2" x14ac:dyDescent="0.2">
      <c r="A156" s="82">
        <v>46078</v>
      </c>
      <c r="B156" s="64">
        <v>195.56</v>
      </c>
    </row>
    <row r="157" spans="1:2" x14ac:dyDescent="0.2">
      <c r="A157" s="82">
        <v>46077</v>
      </c>
      <c r="B157" s="64">
        <v>192.85</v>
      </c>
    </row>
    <row r="158" spans="1:2" x14ac:dyDescent="0.2">
      <c r="A158" s="82">
        <v>46076</v>
      </c>
      <c r="B158" s="64">
        <v>191.55</v>
      </c>
    </row>
    <row r="159" spans="1:2" x14ac:dyDescent="0.2">
      <c r="A159" s="82">
        <v>46073</v>
      </c>
      <c r="B159" s="64">
        <v>189.82</v>
      </c>
    </row>
    <row r="160" spans="1:2" x14ac:dyDescent="0.2">
      <c r="A160" s="82">
        <v>46072</v>
      </c>
      <c r="B160" s="64">
        <v>187.9</v>
      </c>
    </row>
    <row r="161" spans="1:2" x14ac:dyDescent="0.2">
      <c r="A161" s="82">
        <v>46071</v>
      </c>
      <c r="B161" s="64">
        <v>187.98</v>
      </c>
    </row>
    <row r="162" spans="1:2" x14ac:dyDescent="0.2">
      <c r="A162" s="82">
        <v>46070</v>
      </c>
      <c r="B162" s="64">
        <v>184.97</v>
      </c>
    </row>
    <row r="163" spans="1:2" x14ac:dyDescent="0.2">
      <c r="A163" s="82">
        <v>46066</v>
      </c>
      <c r="B163" s="64">
        <v>182.81</v>
      </c>
    </row>
    <row r="164" spans="1:2" x14ac:dyDescent="0.2">
      <c r="A164" s="82">
        <v>46065</v>
      </c>
      <c r="B164" s="64">
        <v>186.94</v>
      </c>
    </row>
    <row r="165" spans="1:2" x14ac:dyDescent="0.2">
      <c r="A165" s="82">
        <v>46064</v>
      </c>
      <c r="B165" s="64">
        <v>190.05</v>
      </c>
    </row>
    <row r="166" spans="1:2" x14ac:dyDescent="0.2">
      <c r="A166" s="82">
        <v>46063</v>
      </c>
      <c r="B166" s="64">
        <v>188.54</v>
      </c>
    </row>
    <row r="167" spans="1:2" x14ac:dyDescent="0.2">
      <c r="A167" s="82">
        <v>46062</v>
      </c>
      <c r="B167" s="64">
        <v>190.04</v>
      </c>
    </row>
    <row r="168" spans="1:2" x14ac:dyDescent="0.2">
      <c r="A168" s="82">
        <v>46059</v>
      </c>
      <c r="B168" s="64">
        <v>185.41</v>
      </c>
    </row>
    <row r="169" spans="1:2" x14ac:dyDescent="0.2">
      <c r="A169" s="82">
        <v>46058</v>
      </c>
      <c r="B169" s="64">
        <v>171.88</v>
      </c>
    </row>
    <row r="170" spans="1:2" x14ac:dyDescent="0.2">
      <c r="A170" s="82">
        <v>46057</v>
      </c>
      <c r="B170" s="64">
        <v>174.19</v>
      </c>
    </row>
    <row r="171" spans="1:2" x14ac:dyDescent="0.2">
      <c r="A171" s="82">
        <v>46056</v>
      </c>
      <c r="B171" s="64">
        <v>180.34</v>
      </c>
    </row>
    <row r="172" spans="1:2" x14ac:dyDescent="0.2">
      <c r="A172" s="82">
        <v>46055</v>
      </c>
      <c r="B172" s="64">
        <v>185.61</v>
      </c>
    </row>
    <row r="173" spans="1:2" x14ac:dyDescent="0.2">
      <c r="A173" s="82">
        <v>46052</v>
      </c>
      <c r="B173" s="64">
        <v>191.13</v>
      </c>
    </row>
    <row r="174" spans="1:2" x14ac:dyDescent="0.2">
      <c r="A174" s="82">
        <v>46051</v>
      </c>
      <c r="B174" s="64">
        <v>192.51</v>
      </c>
    </row>
    <row r="175" spans="1:2" x14ac:dyDescent="0.2">
      <c r="A175" s="82">
        <v>46050</v>
      </c>
      <c r="B175" s="64">
        <v>191.52</v>
      </c>
    </row>
    <row r="176" spans="1:2" x14ac:dyDescent="0.2">
      <c r="A176" s="82">
        <v>46049</v>
      </c>
      <c r="B176" s="64">
        <v>188.52</v>
      </c>
    </row>
    <row r="177" spans="1:2" x14ac:dyDescent="0.2">
      <c r="A177" s="82">
        <v>46048</v>
      </c>
      <c r="B177" s="64">
        <v>186.47</v>
      </c>
    </row>
    <row r="178" spans="1:2" x14ac:dyDescent="0.2">
      <c r="A178" s="82">
        <v>46045</v>
      </c>
      <c r="B178" s="64">
        <v>187.67</v>
      </c>
    </row>
    <row r="179" spans="1:2" x14ac:dyDescent="0.2">
      <c r="A179" s="82">
        <v>46044</v>
      </c>
      <c r="B179" s="64">
        <v>184.84</v>
      </c>
    </row>
    <row r="180" spans="1:2" x14ac:dyDescent="0.2">
      <c r="A180" s="82">
        <v>46043</v>
      </c>
      <c r="B180" s="64">
        <v>183.32</v>
      </c>
    </row>
    <row r="181" spans="1:2" x14ac:dyDescent="0.2">
      <c r="A181" s="82">
        <v>46042</v>
      </c>
      <c r="B181" s="64">
        <v>178.07</v>
      </c>
    </row>
    <row r="182" spans="1:2" x14ac:dyDescent="0.2">
      <c r="A182" s="82">
        <v>46038</v>
      </c>
      <c r="B182" s="64">
        <v>186.23</v>
      </c>
    </row>
    <row r="183" spans="1:2" x14ac:dyDescent="0.2">
      <c r="A183" s="82">
        <v>46037</v>
      </c>
      <c r="B183" s="64">
        <v>187.05</v>
      </c>
    </row>
    <row r="184" spans="1:2" x14ac:dyDescent="0.2">
      <c r="A184" s="82">
        <v>46036</v>
      </c>
      <c r="B184" s="64">
        <v>183.14</v>
      </c>
    </row>
    <row r="185" spans="1:2" x14ac:dyDescent="0.2">
      <c r="A185" s="82">
        <v>46035</v>
      </c>
      <c r="B185" s="64">
        <v>185.81</v>
      </c>
    </row>
    <row r="186" spans="1:2" x14ac:dyDescent="0.2">
      <c r="A186" s="82">
        <v>46034</v>
      </c>
      <c r="B186" s="64">
        <v>184.94</v>
      </c>
    </row>
    <row r="187" spans="1:2" x14ac:dyDescent="0.2">
      <c r="A187" s="82">
        <v>46031</v>
      </c>
      <c r="B187" s="64">
        <v>184.86</v>
      </c>
    </row>
    <row r="188" spans="1:2" x14ac:dyDescent="0.2">
      <c r="A188" s="82">
        <v>46030</v>
      </c>
      <c r="B188" s="64">
        <v>185.04</v>
      </c>
    </row>
    <row r="189" spans="1:2" x14ac:dyDescent="0.2">
      <c r="A189" s="82">
        <v>46029</v>
      </c>
      <c r="B189" s="64">
        <v>189.11</v>
      </c>
    </row>
    <row r="190" spans="1:2" x14ac:dyDescent="0.2">
      <c r="A190" s="82">
        <v>46028</v>
      </c>
      <c r="B190" s="64">
        <v>187.24</v>
      </c>
    </row>
    <row r="191" spans="1:2" x14ac:dyDescent="0.2">
      <c r="A191" s="82">
        <v>46027</v>
      </c>
      <c r="B191" s="64">
        <v>188.12</v>
      </c>
    </row>
    <row r="192" spans="1:2" x14ac:dyDescent="0.2">
      <c r="A192" s="82">
        <v>46024</v>
      </c>
      <c r="B192" s="64">
        <v>188.85</v>
      </c>
    </row>
    <row r="193" spans="1:2" x14ac:dyDescent="0.2">
      <c r="A193" s="82">
        <v>46022</v>
      </c>
      <c r="B193" s="64">
        <v>186.5</v>
      </c>
    </row>
    <row r="194" spans="1:2" x14ac:dyDescent="0.2">
      <c r="A194" s="82">
        <v>46021</v>
      </c>
      <c r="B194" s="64">
        <v>187.54</v>
      </c>
    </row>
    <row r="195" spans="1:2" x14ac:dyDescent="0.2">
      <c r="A195" s="82">
        <v>46020</v>
      </c>
      <c r="B195" s="64">
        <v>188.22</v>
      </c>
    </row>
    <row r="196" spans="1:2" x14ac:dyDescent="0.2">
      <c r="A196" s="82">
        <v>46017</v>
      </c>
      <c r="B196" s="64">
        <v>190.53</v>
      </c>
    </row>
    <row r="197" spans="1:2" x14ac:dyDescent="0.2">
      <c r="A197" s="82">
        <v>46015</v>
      </c>
      <c r="B197" s="64">
        <v>188.61</v>
      </c>
    </row>
    <row r="198" spans="1:2" x14ac:dyDescent="0.2">
      <c r="A198" s="82">
        <v>46014</v>
      </c>
      <c r="B198" s="64">
        <v>189.21</v>
      </c>
    </row>
    <row r="199" spans="1:2" x14ac:dyDescent="0.2">
      <c r="A199" s="82">
        <v>46013</v>
      </c>
      <c r="B199" s="64">
        <v>183.69</v>
      </c>
    </row>
    <row r="200" spans="1:2" x14ac:dyDescent="0.2">
      <c r="A200" s="82">
        <v>46010</v>
      </c>
      <c r="B200" s="64">
        <v>180.99</v>
      </c>
    </row>
    <row r="201" spans="1:2" x14ac:dyDescent="0.2">
      <c r="A201" s="82">
        <v>46009</v>
      </c>
      <c r="B201" s="64">
        <v>174.14</v>
      </c>
    </row>
    <row r="202" spans="1:2" x14ac:dyDescent="0.2">
      <c r="A202" s="82">
        <v>46008</v>
      </c>
      <c r="B202" s="64">
        <v>170.94</v>
      </c>
    </row>
    <row r="203" spans="1:2" x14ac:dyDescent="0.2">
      <c r="A203" s="82">
        <v>46007</v>
      </c>
      <c r="B203" s="64">
        <v>177.72</v>
      </c>
    </row>
    <row r="204" spans="1:2" x14ac:dyDescent="0.2">
      <c r="A204" s="82">
        <v>46006</v>
      </c>
      <c r="B204" s="64">
        <v>176.29</v>
      </c>
    </row>
    <row r="205" spans="1:2" x14ac:dyDescent="0.2">
      <c r="A205" s="82">
        <v>46003</v>
      </c>
      <c r="B205" s="64">
        <v>175.02</v>
      </c>
    </row>
    <row r="206" spans="1:2" x14ac:dyDescent="0.2">
      <c r="A206" s="82">
        <v>46002</v>
      </c>
      <c r="B206" s="64">
        <v>180.93</v>
      </c>
    </row>
    <row r="207" spans="1:2" x14ac:dyDescent="0.2">
      <c r="A207" s="82">
        <v>46001</v>
      </c>
      <c r="B207" s="64">
        <v>183.78</v>
      </c>
    </row>
    <row r="208" spans="1:2" x14ac:dyDescent="0.2">
      <c r="A208" s="82">
        <v>46000</v>
      </c>
      <c r="B208" s="64">
        <v>184.97</v>
      </c>
    </row>
    <row r="209" spans="1:2" x14ac:dyDescent="0.2">
      <c r="A209" s="82">
        <v>45999</v>
      </c>
      <c r="B209" s="64">
        <v>185.55</v>
      </c>
    </row>
    <row r="210" spans="1:2" x14ac:dyDescent="0.2">
      <c r="A210" s="82">
        <v>45996</v>
      </c>
      <c r="B210" s="64">
        <v>182.41</v>
      </c>
    </row>
    <row r="211" spans="1:2" x14ac:dyDescent="0.2">
      <c r="A211" s="82">
        <v>45995</v>
      </c>
      <c r="B211" s="64">
        <v>183.38</v>
      </c>
    </row>
    <row r="212" spans="1:2" x14ac:dyDescent="0.2">
      <c r="A212" s="82">
        <v>45994</v>
      </c>
      <c r="B212" s="64">
        <v>179.59</v>
      </c>
    </row>
    <row r="213" spans="1:2" x14ac:dyDescent="0.2">
      <c r="A213" s="82">
        <v>45993</v>
      </c>
      <c r="B213" s="64">
        <v>181.46</v>
      </c>
    </row>
    <row r="214" spans="1:2" x14ac:dyDescent="0.2">
      <c r="A214" s="82">
        <v>45992</v>
      </c>
      <c r="B214" s="64">
        <v>179.92</v>
      </c>
    </row>
    <row r="215" spans="1:2" x14ac:dyDescent="0.2">
      <c r="A215" s="82">
        <v>45989</v>
      </c>
      <c r="B215" s="64">
        <v>177</v>
      </c>
    </row>
    <row r="216" spans="1:2" x14ac:dyDescent="0.2">
      <c r="A216" s="82">
        <v>45987</v>
      </c>
      <c r="B216" s="64">
        <v>180.26</v>
      </c>
    </row>
    <row r="217" spans="1:2" x14ac:dyDescent="0.2">
      <c r="A217" s="82">
        <v>45986</v>
      </c>
      <c r="B217" s="64">
        <v>177.82</v>
      </c>
    </row>
    <row r="218" spans="1:2" x14ac:dyDescent="0.2">
      <c r="A218" s="82">
        <v>45985</v>
      </c>
      <c r="B218" s="64">
        <v>182.55</v>
      </c>
    </row>
    <row r="219" spans="1:2" x14ac:dyDescent="0.2">
      <c r="A219" s="82">
        <v>45982</v>
      </c>
      <c r="B219" s="64">
        <v>178.88</v>
      </c>
    </row>
    <row r="220" spans="1:2" x14ac:dyDescent="0.2">
      <c r="A220" s="82">
        <v>45981</v>
      </c>
      <c r="B220" s="64">
        <v>180.64</v>
      </c>
    </row>
    <row r="221" spans="1:2" x14ac:dyDescent="0.2">
      <c r="A221" s="82">
        <v>45980</v>
      </c>
      <c r="B221" s="64">
        <v>186.52</v>
      </c>
    </row>
    <row r="222" spans="1:2" x14ac:dyDescent="0.2">
      <c r="A222" s="82">
        <v>45979</v>
      </c>
      <c r="B222" s="64">
        <v>181.36</v>
      </c>
    </row>
    <row r="223" spans="1:2" x14ac:dyDescent="0.2">
      <c r="A223" s="82">
        <v>45978</v>
      </c>
      <c r="B223" s="64">
        <v>186.6</v>
      </c>
    </row>
    <row r="224" spans="1:2" x14ac:dyDescent="0.2">
      <c r="A224" s="82">
        <v>45975</v>
      </c>
      <c r="B224" s="64">
        <v>190.17</v>
      </c>
    </row>
    <row r="225" spans="1:2" x14ac:dyDescent="0.2">
      <c r="A225" s="82">
        <v>45974</v>
      </c>
      <c r="B225" s="64">
        <v>186.86</v>
      </c>
    </row>
    <row r="226" spans="1:2" x14ac:dyDescent="0.2">
      <c r="A226" s="82">
        <v>45973</v>
      </c>
      <c r="B226" s="64">
        <v>193.8</v>
      </c>
    </row>
    <row r="227" spans="1:2" x14ac:dyDescent="0.2">
      <c r="A227" s="82">
        <v>45972</v>
      </c>
      <c r="B227" s="64">
        <v>193.16</v>
      </c>
    </row>
    <row r="228" spans="1:2" x14ac:dyDescent="0.2">
      <c r="A228" s="82">
        <v>45971</v>
      </c>
      <c r="B228" s="64">
        <v>199.05</v>
      </c>
    </row>
    <row r="229" spans="1:2" x14ac:dyDescent="0.2">
      <c r="A229" s="82">
        <v>45968</v>
      </c>
      <c r="B229" s="64">
        <v>188.15</v>
      </c>
    </row>
    <row r="230" spans="1:2" x14ac:dyDescent="0.2">
      <c r="A230" s="82">
        <v>45967</v>
      </c>
      <c r="B230" s="64">
        <v>188.08</v>
      </c>
    </row>
    <row r="231" spans="1:2" x14ac:dyDescent="0.2">
      <c r="A231" s="82">
        <v>45966</v>
      </c>
      <c r="B231" s="64">
        <v>195.21</v>
      </c>
    </row>
    <row r="232" spans="1:2" x14ac:dyDescent="0.2">
      <c r="A232" s="82">
        <v>45965</v>
      </c>
      <c r="B232" s="64">
        <v>198.69</v>
      </c>
    </row>
    <row r="233" spans="1:2" x14ac:dyDescent="0.2">
      <c r="A233" s="82">
        <v>45964</v>
      </c>
      <c r="B233" s="64">
        <v>206.88</v>
      </c>
    </row>
    <row r="234" spans="1:2" x14ac:dyDescent="0.2">
      <c r="A234" s="82">
        <v>45961</v>
      </c>
      <c r="B234" s="64">
        <v>202.49</v>
      </c>
    </row>
    <row r="235" spans="1:2" x14ac:dyDescent="0.2">
      <c r="A235" s="82">
        <v>45960</v>
      </c>
      <c r="B235" s="64">
        <v>202.89</v>
      </c>
    </row>
    <row r="236" spans="1:2" x14ac:dyDescent="0.2">
      <c r="A236" s="82">
        <v>45959</v>
      </c>
      <c r="B236" s="64">
        <v>207.04</v>
      </c>
    </row>
    <row r="237" spans="1:2" x14ac:dyDescent="0.2">
      <c r="A237" s="82">
        <v>45958</v>
      </c>
      <c r="B237" s="64">
        <v>201.03</v>
      </c>
    </row>
    <row r="238" spans="1:2" x14ac:dyDescent="0.2">
      <c r="A238" s="82">
        <v>45957</v>
      </c>
      <c r="B238" s="64">
        <v>191.49</v>
      </c>
    </row>
    <row r="239" spans="1:2" x14ac:dyDescent="0.2">
      <c r="A239" s="82">
        <v>45954</v>
      </c>
      <c r="B239" s="64">
        <v>186.26</v>
      </c>
    </row>
    <row r="240" spans="1:2" x14ac:dyDescent="0.2">
      <c r="A240" s="82">
        <v>45953</v>
      </c>
      <c r="B240" s="64">
        <v>182.16</v>
      </c>
    </row>
    <row r="241" spans="1:2" x14ac:dyDescent="0.2">
      <c r="A241" s="82">
        <v>45952</v>
      </c>
      <c r="B241" s="64">
        <v>180.28</v>
      </c>
    </row>
    <row r="242" spans="1:2" x14ac:dyDescent="0.2">
      <c r="A242" s="82">
        <v>45951</v>
      </c>
      <c r="B242" s="64">
        <v>181.16</v>
      </c>
    </row>
    <row r="243" spans="1:2" x14ac:dyDescent="0.2">
      <c r="A243" s="82">
        <v>45950</v>
      </c>
      <c r="B243" s="64">
        <v>182.64</v>
      </c>
    </row>
    <row r="244" spans="1:2" x14ac:dyDescent="0.2">
      <c r="A244" s="82">
        <v>45947</v>
      </c>
      <c r="B244" s="64">
        <v>183.22</v>
      </c>
    </row>
    <row r="245" spans="1:2" x14ac:dyDescent="0.2">
      <c r="A245" s="82">
        <v>45946</v>
      </c>
      <c r="B245" s="64">
        <v>181.81</v>
      </c>
    </row>
    <row r="246" spans="1:2" x14ac:dyDescent="0.2">
      <c r="A246" s="82">
        <v>45945</v>
      </c>
      <c r="B246" s="64">
        <v>179.83</v>
      </c>
    </row>
    <row r="247" spans="1:2" x14ac:dyDescent="0.2">
      <c r="A247" s="82">
        <v>45944</v>
      </c>
      <c r="B247" s="64">
        <v>180.03</v>
      </c>
    </row>
    <row r="248" spans="1:2" x14ac:dyDescent="0.2">
      <c r="A248" s="82">
        <v>45943</v>
      </c>
      <c r="B248" s="64">
        <v>188.32</v>
      </c>
    </row>
    <row r="249" spans="1:2" x14ac:dyDescent="0.2">
      <c r="A249" s="82">
        <v>45940</v>
      </c>
      <c r="B249" s="64">
        <v>183.16</v>
      </c>
    </row>
    <row r="250" spans="1:2" x14ac:dyDescent="0.2">
      <c r="A250" s="82">
        <v>45939</v>
      </c>
      <c r="B250" s="64">
        <v>192.57</v>
      </c>
    </row>
    <row r="251" spans="1:2" x14ac:dyDescent="0.2">
      <c r="A251" s="82">
        <v>45938</v>
      </c>
      <c r="B251" s="64">
        <v>189.11</v>
      </c>
    </row>
    <row r="252" spans="1:2" x14ac:dyDescent="0.2">
      <c r="A252" s="82">
        <v>45937</v>
      </c>
      <c r="B252" s="64">
        <v>185.04</v>
      </c>
    </row>
    <row r="253" spans="1:2" x14ac:dyDescent="0.2">
      <c r="A253" s="82">
        <v>45936</v>
      </c>
      <c r="B253" s="64">
        <v>185.54</v>
      </c>
    </row>
    <row r="254" spans="1:2" x14ac:dyDescent="0.2">
      <c r="A254" s="82">
        <v>45933</v>
      </c>
      <c r="B254" s="64">
        <v>187.62</v>
      </c>
    </row>
    <row r="255" spans="1:2" x14ac:dyDescent="0.2">
      <c r="A255" s="82">
        <v>45932</v>
      </c>
      <c r="B255" s="64">
        <v>188.89</v>
      </c>
    </row>
    <row r="256" spans="1:2" x14ac:dyDescent="0.2">
      <c r="A256" s="82">
        <v>45931</v>
      </c>
      <c r="B256" s="64">
        <v>187.24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README</vt:lpstr>
      <vt:lpstr>Assumptions</vt:lpstr>
      <vt:lpstr>Segment Forecast</vt:lpstr>
      <vt:lpstr>Historical Financials</vt:lpstr>
      <vt:lpstr>Cost of Equity</vt:lpstr>
      <vt:lpstr>Operating Model Output</vt:lpstr>
      <vt:lpstr>OUT-DCF</vt:lpstr>
      <vt:lpstr>DCF Sensitivity</vt:lpstr>
      <vt:lpstr>Comps Valuation</vt:lpstr>
      <vt:lpstr>Valuation Summary</vt:lpstr>
      <vt:lpstr>Price 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Zander Alt</cp:lastModifiedBy>
  <cp:revision>1</cp:revision>
  <dcterms:created xsi:type="dcterms:W3CDTF">2026-10-01T14:59:54Z</dcterms:created>
  <dcterms:modified xsi:type="dcterms:W3CDTF">2026-10-01T15:21:17Z</dcterms:modified>
  <dc:language>en-US</dc:language>
</cp:coreProperties>
</file>