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README" sheetId="1" state="visible" r:id="rId3"/>
    <sheet name="Assumptions" sheetId="2" state="visible" r:id="rId4"/>
    <sheet name="Segment Forecast" sheetId="3" state="visible" r:id="rId5"/>
    <sheet name="Historical Financials" sheetId="4" state="visible" r:id="rId6"/>
    <sheet name="Cost of Equity" sheetId="5" state="visible" r:id="rId7"/>
    <sheet name="Operating Model Output" sheetId="6" state="visible" r:id="rId8"/>
    <sheet name="OUT-DCF" sheetId="7" state="visible" r:id="rId9"/>
    <sheet name="DCF Sensitivity" sheetId="8" state="visible" r:id="rId10"/>
    <sheet name="Comps Valuation" sheetId="9" state="visible" r:id="rId11"/>
    <sheet name="Valuation Summary" sheetId="10" state="visible" r:id="rId12"/>
    <sheet name="Price History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<sst xmlns="http://schemas.openxmlformats.org/spreadsheetml/2006/main" count="493" uniqueCount="371">
  <si>
    <t xml:space="preserve">Micron Technology, Inc. (Nasdaq: MU) – Equity Valuation Model</t>
  </si>
  <si>
    <t xml:space="preserve">Color key</t>
  </si>
  <si>
    <t xml:space="preserve">Hardcoded input</t>
  </si>
  <si>
    <t xml:space="preserve">Linked from another sheet</t>
  </si>
  <si>
    <t xml:space="preserve">Formula</t>
  </si>
  <si>
    <t xml:space="preserve">How this model is built</t>
  </si>
  <si>
    <t xml:space="preserve">1. Same structure as the A10 and Rithm workbooks: Assumptions with a scenario manager, segment forecast, historical financials, cost of equity, operating model output, FCFE DCF, sensitivity, comps and a valuation summary.</t>
  </si>
  <si>
    <t xml:space="preserve">2. Micron reported record FY2026 results on 9/30/2026: revenue $133.2B (+256%), GAAP operating margin 74.6%, and guided FQ1-27 revenue to $61.5B. Memory is the most cyclical large industry in semis (FY2023 operating margin was −37%), so the forecast is built as a cycle, not a straight line.</t>
  </si>
  <si>
    <t xml:space="preserve">3. Revenue is forecast by business unit. FY'27E uses BU-level growth calibrated to the FQ1-27 guidance (Segment Forecast check). FY'28E–FY'31E apply an industry-cycle path to every BU. BU operating margins move in a straight line from FY'27E to a normalized (mid-cycle) FY'31E target, and the terminal value is built on that normalized year.</t>
  </si>
  <si>
    <t xml:space="preserve">4. Cash flow = net operating profit after tax + D&amp;A − net capex (after government incentives) − increase in working capital. D&amp;A is a rate on beginning net PP&amp;E, so depreciation follows the capex the model spends.</t>
  </si>
  <si>
    <t xml:space="preserve">5. Micron's debt ($5.2B) is 0.4% of its market value, so operating cash flow is discounted at the cost of equity and the balance sheet is settled separately: + cash and marketable investments, − debt, − customer prepayments. The $12.9B of prepayments under Strategic Customer Agreements is treated as debt-like because it will be repaid in product, not cash.</t>
  </si>
  <si>
    <t xml:space="preserve">6. Interest income on the $73B cash pile is excluded from the forecast because the cash itself is added to equity value (avoids counting it twice). Buybacks and dividends are not modeled; they do not change value in a DCF.</t>
  </si>
  <si>
    <t xml:space="preserve">7. Only the part of FY'27 remaining after the valuation date (the stub) is counted. Micron's FY'27 ends 9/2/2027. The terminal value is discounted from the end of FY'31.</t>
  </si>
  <si>
    <t xml:space="preserve">8. Cost of equity: peer-implied (1 / forward P/E + long-run growth, same method as the A10 model), CAPM, or their average (the default). Switch with Assumptions!D66. Peer P/Es are depressed by peak AI earnings, which pushes the peer-implied rate down; CAPM with MU's 2.23 beta pushes it up.</t>
  </si>
  <si>
    <t xml:space="preserve">9. Scenario manager: change Assumptions!D19 (1 = Base, 2 = Conservative, 3 = Bullish).</t>
  </si>
  <si>
    <t xml:space="preserve">10. Sources: Micron FQ4-26 earnings release (8-K, 9/30/2026) and the FQ1–FQ3-26 releases for business-unit data; SEC EDGAR XBRL (10-K FY2021–FY2025); Yahoo Finance (prices, 10-year Treasury); Finviz (beta, consensus forward P/E, peer multiples). Prices as of 10/1/2026 intraday.</t>
  </si>
  <si>
    <t xml:space="preserve">Micron Technology, Inc. – Assumptions</t>
  </si>
  <si>
    <t xml:space="preserve">($ in millions, except per-share data)</t>
  </si>
  <si>
    <t xml:space="preserve">General</t>
  </si>
  <si>
    <t xml:space="preserve">Valuation date</t>
  </si>
  <si>
    <t xml:space="preserve">Pricing date (day after FQ4-26 earnings)</t>
  </si>
  <si>
    <t xml:space="preserve">Ticker</t>
  </si>
  <si>
    <t xml:space="preserve">MU</t>
  </si>
  <si>
    <t xml:space="preserve">Nasdaq</t>
  </si>
  <si>
    <t xml:space="preserve">Current share price</t>
  </si>
  <si>
    <t xml:space="preserve">Yahoo Finance, 10/1/2026 intraday</t>
  </si>
  <si>
    <t xml:space="preserve">Diluted shares (mm)</t>
  </si>
  <si>
    <t xml:space="preserve">FQ4-26 GAAP diluted weighted-average shares; FQ1-27 guidance assumes ~1.15B</t>
  </si>
  <si>
    <t xml:space="preserve">Cash, equivalents &amp; marketable investments</t>
  </si>
  <si>
    <t xml:space="preserve">Cash + short- and long-term marketable investments, 9/3/2026</t>
  </si>
  <si>
    <t xml:space="preserve">Total debt</t>
  </si>
  <si>
    <t xml:space="preserve">Current + long-term debt, 9/3/2026</t>
  </si>
  <si>
    <t xml:space="preserve">Customer prepayments (debt-like)</t>
  </si>
  <si>
    <t xml:space="preserve">Noncurrent customer contract liabilities; repaid with future product</t>
  </si>
  <si>
    <t xml:space="preserve">Fiscal year end, FY27</t>
  </si>
  <si>
    <t xml:space="preserve">52-week year ending the Thursday closest to Aug 31</t>
  </si>
  <si>
    <t xml:space="preserve">Stub period (share of FY27 remaining)</t>
  </si>
  <si>
    <t xml:space="preserve">Only this share of FY'27E cash flow is valued</t>
  </si>
  <si>
    <t xml:space="preserve">Mid-year convention (1 = on, 0 = off)</t>
  </si>
  <si>
    <t xml:space="preserve">Cash flows assumed to arrive mid-period</t>
  </si>
  <si>
    <t xml:space="preserve">Scenario Manager</t>
  </si>
  <si>
    <t xml:space="preserve">Scenario</t>
  </si>
  <si>
    <t xml:space="preserve">Active</t>
  </si>
  <si>
    <t xml:space="preserve">Base</t>
  </si>
  <si>
    <t xml:space="preserve">Conservative</t>
  </si>
  <si>
    <t xml:space="preserve">Bullish</t>
  </si>
  <si>
    <t xml:space="preserve">Active scenario (1 = Base, 2 = Conservative, 3 = Bullish)</t>
  </si>
  <si>
    <t xml:space="preserve">Scenario description</t>
  </si>
  <si>
    <t xml:space="preserve">FY'27E Revenue Growth by Business Unit (vs. FY2026)</t>
  </si>
  <si>
    <t xml:space="preserve">Cloud Memory (CMBU)</t>
  </si>
  <si>
    <t xml:space="preserve">HBM and cloud DRAM; FQ4-26 revenue ×4 = 51% above FY2026</t>
  </si>
  <si>
    <t xml:space="preserve">Core Data Center (CDBU)</t>
  </si>
  <si>
    <t xml:space="preserve">Data-center DRAM/SSD; FQ4-26 ×4 = 92% above FY2026</t>
  </si>
  <si>
    <t xml:space="preserve">Mobile &amp; Client (MCBU)</t>
  </si>
  <si>
    <t xml:space="preserve">Phones and PCs; FQ4-26 ×4 = 43% above FY2026</t>
  </si>
  <si>
    <t xml:space="preserve">Automotive &amp; Embedded (AEBU)</t>
  </si>
  <si>
    <t xml:space="preserve">Auto, industrial, consumer; FQ4-26 ×4 = 72% above FY2026</t>
  </si>
  <si>
    <t xml:space="preserve">Industry Cycle – Revenue Growth Applied to Every BU</t>
  </si>
  <si>
    <t xml:space="preserve">FY'28E</t>
  </si>
  <si>
    <t xml:space="preserve">Prices plateau as new capacity (Idaho, New York, HBM fabs) arrives</t>
  </si>
  <si>
    <t xml:space="preserve">FY'29E</t>
  </si>
  <si>
    <t xml:space="preserve">Down-cycle: supply catches up; FY2023 revenue fell 49%, FY2019 23%</t>
  </si>
  <si>
    <t xml:space="preserve">FY'30E</t>
  </si>
  <si>
    <t xml:space="preserve">Second down year, milder</t>
  </si>
  <si>
    <t xml:space="preserve">FY'31E</t>
  </si>
  <si>
    <t xml:space="preserve">Recovery / mid-cycle year used for the terminal value</t>
  </si>
  <si>
    <t xml:space="preserve">BU Operating Margin – FY'27E</t>
  </si>
  <si>
    <t xml:space="preserve">FQ4-26 BU margins: CMBU 76%, CDBU 85%, MCBU 88%, AEBU 79%</t>
  </si>
  <si>
    <t xml:space="preserve">BU Operating Margin – FY'31E Normalized Target (straight-line path)</t>
  </si>
  <si>
    <t xml:space="preserve">Highest in HBM: multi-year Strategic Customer Agreements reduce price swings</t>
  </si>
  <si>
    <t xml:space="preserve">Commodity exposure: closest to the old cycle</t>
  </si>
  <si>
    <t xml:space="preserve">FY2021–FY2025 company average operating margin was 10% (range −37% to 32%)</t>
  </si>
  <si>
    <t xml:space="preserve">Corporate &amp; Cash Flow</t>
  </si>
  <si>
    <t xml:space="preserve">Unallocated costs (SBC, other) as % of revenue</t>
  </si>
  <si>
    <t xml:space="preserve">FY2026: GAAP operating income was 1.4% of revenue below the BU total (incl. a $500mm patent charge)</t>
  </si>
  <si>
    <t xml:space="preserve">Tax rate</t>
  </si>
  <si>
    <t xml:space="preserve">FY2026 effective rate 14.8%; 15% global minimum tax (Pillar Two)</t>
  </si>
  <si>
    <t xml:space="preserve">D&amp;A as % of beginning net PP&amp;E</t>
  </si>
  <si>
    <t xml:space="preserve">FY2026: $9,503mm on $46,590mm beginning PP&amp;E = 20.4%</t>
  </si>
  <si>
    <t xml:space="preserve">Net capex as % of revenue – FY'27E</t>
  </si>
  <si>
    <t xml:space="preserve">FY2026 net capex $27.4B = 20.5% of revenue; Micron is raising investment</t>
  </si>
  <si>
    <t xml:space="preserve">Net capex as % of revenue – FY'31E (straight-line path)</t>
  </si>
  <si>
    <t xml:space="preserve">FY2021–FY2025 gross capex averaged 42% of revenue; mid-cycle intensity</t>
  </si>
  <si>
    <t xml:space="preserve">Net working capital as % of revenue</t>
  </si>
  <si>
    <t xml:space="preserve">FY2026 15.5%; FY2025 20.4%</t>
  </si>
  <si>
    <t xml:space="preserve">Long-run (terminal) growth rate</t>
  </si>
  <si>
    <t xml:space="preserve">Applied to the normalized FY'31E cash flow</t>
  </si>
  <si>
    <t xml:space="preserve">Cost of Equity Inputs</t>
  </si>
  <si>
    <t xml:space="preserve">Risk-free rate (10-year Treasury)</t>
  </si>
  <si>
    <t xml:space="preserve">Yahoo Finance ^TNX, 10/1/2026</t>
  </si>
  <si>
    <t xml:space="preserve">MU beta</t>
  </si>
  <si>
    <t xml:space="preserve">Finviz (5-year monthly vs. S&amp;P 500)</t>
  </si>
  <si>
    <t xml:space="preserve">Equity risk premium</t>
  </si>
  <si>
    <t xml:space="preserve">Assumption (same as the RITM model)</t>
  </si>
  <si>
    <t xml:space="preserve">Peer long-run growth (for implied k)</t>
  </si>
  <si>
    <t xml:space="preserve">Added to each peer earnings yield (1 / forward P/E)</t>
  </si>
  <si>
    <t xml:space="preserve">DCF Settings</t>
  </si>
  <si>
    <t xml:space="preserve">Sensitivity step – cost of equity</t>
  </si>
  <si>
    <t xml:space="preserve">Sensitivity step – terminal growth</t>
  </si>
  <si>
    <t xml:space="preserve">Cost of equity method (1 = Peer implied, 2 = CAPM, 3 = Average)</t>
  </si>
  <si>
    <t xml:space="preserve">Peer-implied k runs low because AI semis trade on peak earnings; CAPM runs high on a 2.23 beta. The default averages the two.</t>
  </si>
  <si>
    <t xml:space="preserve">Micron Technology, Inc. – Segment Forecast</t>
  </si>
  <si>
    <t xml:space="preserve">Business Unit Revenue ($mm)</t>
  </si>
  <si>
    <t xml:space="preserve">FY2025</t>
  </si>
  <si>
    <t xml:space="preserve">FY2026</t>
  </si>
  <si>
    <t xml:space="preserve">FQ4-26 ×4</t>
  </si>
  <si>
    <t xml:space="preserve">FY'27E</t>
  </si>
  <si>
    <t xml:space="preserve">FY'27E = FY2026 × (1 + BU growth); later years apply the cycle path (Assumptions rows 29–32).</t>
  </si>
  <si>
    <t xml:space="preserve">Other / rounding</t>
  </si>
  <si>
    <t xml:space="preserve">Total revenue</t>
  </si>
  <si>
    <t xml:space="preserve">   YoY growth</t>
  </si>
  <si>
    <t xml:space="preserve">Business Unit Operating Income ($mm)</t>
  </si>
  <si>
    <t xml:space="preserve">Unallocated (SBC, patent charges, other)</t>
  </si>
  <si>
    <t xml:space="preserve">Operating income (GAAP)</t>
  </si>
  <si>
    <t xml:space="preserve">FY2025 and FY2026 tie to reported GAAP operating income ($9,770mm and $99,340mm).</t>
  </si>
  <si>
    <t xml:space="preserve">   Operating margin</t>
  </si>
  <si>
    <t xml:space="preserve">Business Unit Operating Margin</t>
  </si>
  <si>
    <t xml:space="preserve">Calibration Check: FY'27E vs. FQ1-27 Guidance (9/30/2026)</t>
  </si>
  <si>
    <t xml:space="preserve">FQ1-27 revenue guidance (midpoint)</t>
  </si>
  <si>
    <t xml:space="preserve">Annualized run-rate (×4)</t>
  </si>
  <si>
    <t xml:space="preserve">FY'27E revenue (forecast)</t>
  </si>
  <si>
    <t xml:space="preserve">Forecast vs. run-rate</t>
  </si>
  <si>
    <t xml:space="preserve">Base case: FY'27E revenue sits within a few % of the FQ1-27 run-rate (i.e. roughly flat quarters after Q1).</t>
  </si>
  <si>
    <t xml:space="preserve">FQ1-27 GAAP gross margin guidance</t>
  </si>
  <si>
    <t xml:space="preserve">FQ1-27 GAAP operating expense guidance</t>
  </si>
  <si>
    <t xml:space="preserve">Implied FQ1-27 GAAP operating margin</t>
  </si>
  <si>
    <t xml:space="preserve">FY'27E operating margin (forecast)</t>
  </si>
  <si>
    <t xml:space="preserve">Forecast vs. guided margin (pts)</t>
  </si>
  <si>
    <t xml:space="preserve">Base case: margins a few points below the guided quarter, allowing for prices to stop rising during the year.</t>
  </si>
  <si>
    <t xml:space="preserve">Micron Technology, Inc. – Historical Financials</t>
  </si>
  <si>
    <t xml:space="preserve">Income Statement and Cash Flow (fiscal years end ~Sep 1)</t>
  </si>
  <si>
    <t xml:space="preserve">FY2021</t>
  </si>
  <si>
    <t xml:space="preserve">FY2022</t>
  </si>
  <si>
    <t xml:space="preserve">FY2023</t>
  </si>
  <si>
    <t xml:space="preserve">FY2024</t>
  </si>
  <si>
    <t xml:space="preserve">Revenue</t>
  </si>
  <si>
    <t xml:space="preserve">Cost of goods sold</t>
  </si>
  <si>
    <t xml:space="preserve">Gross margin</t>
  </si>
  <si>
    <t xml:space="preserve">   Gross margin %</t>
  </si>
  <si>
    <t xml:space="preserve">Research &amp; development</t>
  </si>
  <si>
    <t xml:space="preserve">Selling, general &amp; administrative</t>
  </si>
  <si>
    <t xml:space="preserve">Other operating (income) expense, net</t>
  </si>
  <si>
    <t xml:space="preserve">   Operating margin %</t>
  </si>
  <si>
    <t xml:space="preserve">Income before taxes</t>
  </si>
  <si>
    <t xml:space="preserve">Income tax provision</t>
  </si>
  <si>
    <t xml:space="preserve">   Effective tax rate</t>
  </si>
  <si>
    <t xml:space="preserve">Net income (GAAP)</t>
  </si>
  <si>
    <t xml:space="preserve">Diluted EPS (GAAP)</t>
  </si>
  <si>
    <t xml:space="preserve">Depreciation &amp; amortization</t>
  </si>
  <si>
    <t xml:space="preserve">Stock-based compensation</t>
  </si>
  <si>
    <t xml:space="preserve">Cash from operations</t>
  </si>
  <si>
    <t xml:space="preserve">Capex (gross PP&amp;E purchases)</t>
  </si>
  <si>
    <t xml:space="preserve">Government incentives received</t>
  </si>
  <si>
    <t xml:space="preserve">Incentives (CHIPS Act etc.) not broken out before FY2025 in this pull; net capex = gross for those years.</t>
  </si>
  <si>
    <t xml:space="preserve">Net capex (after incentives)</t>
  </si>
  <si>
    <t xml:space="preserve">Adjusted free cash flow</t>
  </si>
  <si>
    <t xml:space="preserve">Ties to the release: FY2026 adjusted FCF $62,308mm (release also adds $29mm PP&amp;E sale proceeds).</t>
  </si>
  <si>
    <t xml:space="preserve">   Net capex % of revenue</t>
  </si>
  <si>
    <t xml:space="preserve">Average operating margin, FY2021–FY2025</t>
  </si>
  <si>
    <t xml:space="preserve">The memory cycle: −37% to +32% in five years. FY2026 was 74.6%.</t>
  </si>
  <si>
    <t xml:space="preserve">Balance Sheet</t>
  </si>
  <si>
    <t xml:space="preserve">Aug 28, 2025</t>
  </si>
  <si>
    <t xml:space="preserve">Sep 3, 2026</t>
  </si>
  <si>
    <t xml:space="preserve">Cash &amp; equivalents</t>
  </si>
  <si>
    <t xml:space="preserve">Short-term investments</t>
  </si>
  <si>
    <t xml:space="preserve">Cash &amp; marketable investments (total)</t>
  </si>
  <si>
    <t xml:space="preserve">Release: cash, marketable investments and restricted cash of $73.48B (restricted $27mm excluded here).</t>
  </si>
  <si>
    <t xml:space="preserve">Long-term marketable investments</t>
  </si>
  <si>
    <t xml:space="preserve">Receivables</t>
  </si>
  <si>
    <t xml:space="preserve">Inventories</t>
  </si>
  <si>
    <t xml:space="preserve">Other current assets</t>
  </si>
  <si>
    <t xml:space="preserve">Accounts payable &amp; accrued expenses</t>
  </si>
  <si>
    <t xml:space="preserve">Other current liabilities</t>
  </si>
  <si>
    <t xml:space="preserve">Operating net working capital</t>
  </si>
  <si>
    <t xml:space="preserve">Property, plant &amp; equipment, net</t>
  </si>
  <si>
    <t xml:space="preserve">Current debt</t>
  </si>
  <si>
    <t xml:space="preserve">Long-term debt</t>
  </si>
  <si>
    <t xml:space="preserve">Noncurrent customer contract liabilities</t>
  </si>
  <si>
    <t xml:space="preserve">Prepayments received under Strategic Customer Agreements ($12.7B in FY2026); booked as financing cash flow.</t>
  </si>
  <si>
    <t xml:space="preserve">Total shareholders' equity</t>
  </si>
  <si>
    <t xml:space="preserve">   NWC % of revenue</t>
  </si>
  <si>
    <t xml:space="preserve">Net cash (before customer prepayments)</t>
  </si>
  <si>
    <t xml:space="preserve">Quarterly Business Unit Results (earnings releases)</t>
  </si>
  <si>
    <t xml:space="preserve">FQ1-25</t>
  </si>
  <si>
    <t xml:space="preserve">FQ2-25</t>
  </si>
  <si>
    <t xml:space="preserve">FQ3-25</t>
  </si>
  <si>
    <t xml:space="preserve">FQ4-25</t>
  </si>
  <si>
    <t xml:space="preserve">FQ1-26</t>
  </si>
  <si>
    <t xml:space="preserve">FQ2-26</t>
  </si>
  <si>
    <t xml:space="preserve">FQ3-26</t>
  </si>
  <si>
    <t xml:space="preserve">FQ4-26</t>
  </si>
  <si>
    <t xml:space="preserve">Cloud Memory (CMBU) – revenue</t>
  </si>
  <si>
    <t xml:space="preserve">BU margins are reported to the whole percent, so BU operating income is approximate (±0.5% of revenue).</t>
  </si>
  <si>
    <t xml:space="preserve">   operating margin</t>
  </si>
  <si>
    <t xml:space="preserve">   operating income</t>
  </si>
  <si>
    <t xml:space="preserve">Core Data Center (CDBU) – revenue</t>
  </si>
  <si>
    <t xml:space="preserve">Mobile &amp; Client (MCBU) – revenue</t>
  </si>
  <si>
    <t xml:space="preserve">Automotive &amp; Embedded (AEBU) – revenue</t>
  </si>
  <si>
    <t xml:space="preserve">Total company revenue (reported)</t>
  </si>
  <si>
    <t xml:space="preserve">GAAP operating income (reported)</t>
  </si>
  <si>
    <t xml:space="preserve">FQ1–FQ3-25 GAAP OI from 10-Q XBRL; quarters sum to FY2025 $9,770mm.</t>
  </si>
  <si>
    <t xml:space="preserve">Unallocated (GAAP OI − sum of BU OI)</t>
  </si>
  <si>
    <t xml:space="preserve">Check: BU revenue less reported revenue</t>
  </si>
  <si>
    <t xml:space="preserve">Micron Technology, Inc. – Cost of Equity</t>
  </si>
  <si>
    <t xml:space="preserve">Peer-Implied Cost of Equity (same method as the A10 model)</t>
  </si>
  <si>
    <t xml:space="preserve">Company</t>
  </si>
  <si>
    <t xml:space="preserve">Business</t>
  </si>
  <si>
    <t xml:space="preserve">Fwd P/E</t>
  </si>
  <si>
    <t xml:space="preserve">Beta</t>
  </si>
  <si>
    <t xml:space="preserve">Earnings yield</t>
  </si>
  <si>
    <t xml:space="preserve">Implied k</t>
  </si>
  <si>
    <t xml:space="preserve">Sandisk</t>
  </si>
  <si>
    <t xml:space="preserve">SNDK</t>
  </si>
  <si>
    <t xml:space="preserve">NAND flash / SSD</t>
  </si>
  <si>
    <t xml:space="preserve">Implied k = 1 ÷ forward P/E + long-run growth (Assumptions!D59).</t>
  </si>
  <si>
    <t xml:space="preserve">Western Digital</t>
  </si>
  <si>
    <t xml:space="preserve">WDC</t>
  </si>
  <si>
    <t xml:space="preserve">Hard drives</t>
  </si>
  <si>
    <t xml:space="preserve">Caution: forward P/Es sit on peak-cycle AI earnings, so earnings yields understate the true required return.</t>
  </si>
  <si>
    <t xml:space="preserve">Seagate Technology</t>
  </si>
  <si>
    <t xml:space="preserve">STX</t>
  </si>
  <si>
    <t xml:space="preserve">NVIDIA</t>
  </si>
  <si>
    <t xml:space="preserve">NVDA</t>
  </si>
  <si>
    <t xml:space="preserve">AI accelerators</t>
  </si>
  <si>
    <t xml:space="preserve">Broadcom</t>
  </si>
  <si>
    <t xml:space="preserve">AVGO</t>
  </si>
  <si>
    <t xml:space="preserve">AI networking / ASICs</t>
  </si>
  <si>
    <t xml:space="preserve">Advanced Micro Devices</t>
  </si>
  <si>
    <t xml:space="preserve">AMD</t>
  </si>
  <si>
    <t xml:space="preserve">CPUs / AI accelerators</t>
  </si>
  <si>
    <t xml:space="preserve">Median</t>
  </si>
  <si>
    <t xml:space="preserve">Mean</t>
  </si>
  <si>
    <t xml:space="preserve">CAPM</t>
  </si>
  <si>
    <t xml:space="preserve">Risk-free rate</t>
  </si>
  <si>
    <t xml:space="preserve">CAPM cost of equity</t>
  </si>
  <si>
    <t xml:space="preserve">Selected Cost of Equity</t>
  </si>
  <si>
    <t xml:space="preserve">Peer-implied (median)</t>
  </si>
  <si>
    <t xml:space="preserve">Average</t>
  </si>
  <si>
    <t xml:space="preserve">Method selected (Assumptions!D66)</t>
  </si>
  <si>
    <t xml:space="preserve">Target cost of equity (k)</t>
  </si>
  <si>
    <t xml:space="preserve">Feeds OUT-DCF. MU itself trades at 5.2x consensus forward EPS: the market expects these earnings to fall.</t>
  </si>
  <si>
    <t xml:space="preserve">Micron Technology, Inc. – Operating Model Output</t>
  </si>
  <si>
    <t xml:space="preserve">Operating Profit and Free Cash Flow to Equity</t>
  </si>
  <si>
    <t xml:space="preserve">( – ) Taxes</t>
  </si>
  <si>
    <t xml:space="preserve">Net operating profit after tax</t>
  </si>
  <si>
    <t xml:space="preserve">Excludes interest income; the cash itself is added to equity value in OUT-DCF.</t>
  </si>
  <si>
    <t xml:space="preserve">EPS on operating profit (diluted)</t>
  </si>
  <si>
    <t xml:space="preserve">( + ) Depreciation &amp; amortization</t>
  </si>
  <si>
    <t xml:space="preserve">D&amp;A = rate × beginning net PP&amp;E, so depreciation follows the capex the model spends.</t>
  </si>
  <si>
    <t xml:space="preserve">( – ) Net capex</t>
  </si>
  <si>
    <t xml:space="preserve">( – ) Increase in net working capital</t>
  </si>
  <si>
    <t xml:space="preserve">FY'27E starts from FY2026 operating working capital ($20.6B). Working capital is released as revenue falls.</t>
  </si>
  <si>
    <t xml:space="preserve">Free cash flow to equity (FCFE)</t>
  </si>
  <si>
    <t xml:space="preserve">FCFE per diluted share</t>
  </si>
  <si>
    <t xml:space="preserve">   FCFE margin</t>
  </si>
  <si>
    <t xml:space="preserve">Memo: EBITDA</t>
  </si>
  <si>
    <t xml:space="preserve">Net PP&amp;E, beginning of year</t>
  </si>
  <si>
    <t xml:space="preserve">Starts from FY2026 net PP&amp;E ($63.3B).</t>
  </si>
  <si>
    <t xml:space="preserve">Net PP&amp;E, end of year</t>
  </si>
  <si>
    <t xml:space="preserve">Net working capital, end of year</t>
  </si>
  <si>
    <t xml:space="preserve">Net capex ÷ D&amp;A</t>
  </si>
  <si>
    <t xml:space="preserve">Net capex % of revenue (path)</t>
  </si>
  <si>
    <t xml:space="preserve">Pre-tax return on beginning net PP&amp;E</t>
  </si>
  <si>
    <t xml:space="preserve">Micron Technology, Inc. – Discounted Cash Flow (FCFE)</t>
  </si>
  <si>
    <t xml:space="preserve">Free Cash Flow to Equity</t>
  </si>
  <si>
    <t xml:space="preserve">FCFE (full year)</t>
  </si>
  <si>
    <t xml:space="preserve">Share of year counted</t>
  </si>
  <si>
    <t xml:space="preserve">FCFE counted</t>
  </si>
  <si>
    <t xml:space="preserve">Year-end discount period (years)</t>
  </si>
  <si>
    <t xml:space="preserve">Discount period used</t>
  </si>
  <si>
    <t xml:space="preserve">Cost of equity (k)</t>
  </si>
  <si>
    <t xml:space="preserve">Discount factor</t>
  </si>
  <si>
    <t xml:space="preserve">Present value of FCFE</t>
  </si>
  <si>
    <t xml:space="preserve">Terminal Value and Equity Value</t>
  </si>
  <si>
    <t xml:space="preserve">Terminal-year FCFE (FY'31E, normalized)</t>
  </si>
  <si>
    <t xml:space="preserve">FY'31E is the recovery year with margins at their normalized target, so it is the base for the perpetuity.</t>
  </si>
  <si>
    <t xml:space="preserve">Long-run growth rate (g)</t>
  </si>
  <si>
    <t xml:space="preserve">Terminal value at end of FY'31</t>
  </si>
  <si>
    <t xml:space="preserve">Terminal value discounted from the end of FY'31 (not mid-year).</t>
  </si>
  <si>
    <t xml:space="preserve">Discount period (end of FY'31)</t>
  </si>
  <si>
    <t xml:space="preserve">Present value of terminal value</t>
  </si>
  <si>
    <t xml:space="preserve">Present value of FY'27–31 FCFE</t>
  </si>
  <si>
    <t xml:space="preserve">Value of operations</t>
  </si>
  <si>
    <t xml:space="preserve">( + ) Cash &amp; marketable investments</t>
  </si>
  <si>
    <t xml:space="preserve">( – ) Total debt</t>
  </si>
  <si>
    <t xml:space="preserve">( – ) Customer prepayments</t>
  </si>
  <si>
    <t xml:space="preserve">Equity value</t>
  </si>
  <si>
    <t xml:space="preserve">( ÷ ) Diluted shares (mm)</t>
  </si>
  <si>
    <t xml:space="preserve">Implied share price</t>
  </si>
  <si>
    <t xml:space="preserve">Scenario shown: Assumptions!D20. Change Assumptions!D19 to see Conservative / Bullish.</t>
  </si>
  <si>
    <t xml:space="preserve">Upside / (downside)</t>
  </si>
  <si>
    <t xml:space="preserve">Terminal value as % of value of operations</t>
  </si>
  <si>
    <t xml:space="preserve">Implied P/E on FY'27E EPS</t>
  </si>
  <si>
    <t xml:space="preserve">Implied P/E on FY'31E (mid-cycle) EPS</t>
  </si>
  <si>
    <t xml:space="preserve">Current price ÷ consensus forward EPS</t>
  </si>
  <si>
    <t xml:space="preserve">Micron Technology, Inc. – DCF Sensitivity</t>
  </si>
  <si>
    <t xml:space="preserve">Implied Share Price – Cost of Equity (rows) vs. Terminal Growth (columns)</t>
  </si>
  <si>
    <t xml:space="preserve">k \ g</t>
  </si>
  <si>
    <t xml:space="preserve">Upside / (Downside) vs. Current Share Price</t>
  </si>
  <si>
    <t xml:space="preserve">Check: grid center less OUT-DCF price (should be 0.00)</t>
  </si>
  <si>
    <t xml:space="preserve">What the Current Price Implies (base cost of equity)</t>
  </si>
  <si>
    <t xml:space="preserve">PV of FY'27–31 FCFE + net balance-sheet items</t>
  </si>
  <si>
    <t xml:space="preserve">Terminal value (PV) needed to justify current price</t>
  </si>
  <si>
    <t xml:space="preserve">Terminal value at end of FY31 needed</t>
  </si>
  <si>
    <t xml:space="preserve">Terminal FCFE needed at model g</t>
  </si>
  <si>
    <t xml:space="preserve">Model FY'31E FCFE</t>
  </si>
  <si>
    <t xml:space="preserve">Needed ÷ model terminal FCFE</t>
  </si>
  <si>
    <t xml:space="preserve">Market-implied terminal growth (at model FCFE)</t>
  </si>
  <si>
    <t xml:space="preserve">Micron Technology, Inc. – Trading Comps</t>
  </si>
  <si>
    <t xml:space="preserve">Peer Multiples (Finviz, 10/1/2026)</t>
  </si>
  <si>
    <t xml:space="preserve">EV/EBITDA (ttm)</t>
  </si>
  <si>
    <t xml:space="preserve">EV/Sales (ttm)</t>
  </si>
  <si>
    <t xml:space="preserve">P/FCF</t>
  </si>
  <si>
    <t xml:space="preserve">Mkt cap ($bn)</t>
  </si>
  <si>
    <t xml:space="preserve">Oper. margin</t>
  </si>
  <si>
    <t xml:space="preserve">Memory/storage peers (SNDK, WDC, STX) plus AI-semis peers (NVDA, AVGO, AMD). Intel excluded (negative earnings).</t>
  </si>
  <si>
    <t xml:space="preserve">High</t>
  </si>
  <si>
    <t xml:space="preserve">75th percentile</t>
  </si>
  <si>
    <t xml:space="preserve">25th percentile</t>
  </si>
  <si>
    <t xml:space="preserve">Low</t>
  </si>
  <si>
    <t xml:space="preserve">Micron (MU)</t>
  </si>
  <si>
    <t xml:space="preserve">MU Per-Share Inputs</t>
  </si>
  <si>
    <t xml:space="preserve">FY2026 EBITDA (GAAP operating income + D&amp;A)</t>
  </si>
  <si>
    <t xml:space="preserve">Consensus forward EPS (price ÷ Finviz forward P/E)</t>
  </si>
  <si>
    <t xml:space="preserve">Consensus EPS for FY2027 (Finviz forward P/E 5.15x). The FQ1-27 guide alone is $38.15 non-GAAP per quarter.</t>
  </si>
  <si>
    <t xml:space="preserve">FY2026 revenue</t>
  </si>
  <si>
    <t xml:space="preserve">Net balance-sheet adjustment (cash − debt − prepayments)</t>
  </si>
  <si>
    <t xml:space="preserve">Through-cycle EPS: model average FY'27E–FY'31E</t>
  </si>
  <si>
    <t xml:space="preserve">Cyclical check: applies peer P/Es to average earnings across the modeled cycle instead of peak earnings.</t>
  </si>
  <si>
    <t xml:space="preserve">FY'27E free cash flow per share (model)</t>
  </si>
  <si>
    <t xml:space="preserve">Implied Share Price</t>
  </si>
  <si>
    <t xml:space="preserve">Peer multiple applied</t>
  </si>
  <si>
    <t xml:space="preserve">Fwd P/E × consensus EPS</t>
  </si>
  <si>
    <t xml:space="preserve">EV/EBITDA × FY26 EBITDA</t>
  </si>
  <si>
    <t xml:space="preserve">EV/Sales × FY26 revenue</t>
  </si>
  <si>
    <t xml:space="preserve">Fwd P/E × through-cycle EPS</t>
  </si>
  <si>
    <t xml:space="preserve">Peak-earnings multiples applied to peak earnings give very high values; the through-cycle column shows how much depends on the peak lasting.</t>
  </si>
  <si>
    <t xml:space="preserve">Micron Technology, Inc. – Valuation Summary</t>
  </si>
  <si>
    <t xml:space="preserve">Price Target Summary</t>
  </si>
  <si>
    <t xml:space="preserve">DCF price target (active scenario)</t>
  </si>
  <si>
    <t xml:space="preserve">Cost of equity used</t>
  </si>
  <si>
    <t xml:space="preserve">Market-implied terminal growth</t>
  </si>
  <si>
    <t xml:space="preserve">Terminal FCFE the price needs ÷ model FY'31E FCFE</t>
  </si>
  <si>
    <t xml:space="preserve">Football Field ($ per share)</t>
  </si>
  <si>
    <t xml:space="preserve">Method</t>
  </si>
  <si>
    <t xml:space="preserve">Midpoint</t>
  </si>
  <si>
    <t xml:space="preserve">Spread</t>
  </si>
  <si>
    <t xml:space="preserve">52-week trading range</t>
  </si>
  <si>
    <t xml:space="preserve">Peer fwd P/E × consensus EPS (25th–75th)</t>
  </si>
  <si>
    <t xml:space="preserve">Peer EV/EBITDA × FY26 EBITDA (25th–75th)</t>
  </si>
  <si>
    <t xml:space="preserve">Peer fwd P/E × through-cycle EPS (25th–75th)</t>
  </si>
  <si>
    <t xml:space="preserve">DCF – k ±1 step, g ±1 step</t>
  </si>
  <si>
    <t xml:space="preserve">DCF – Conservative to Bullish scenario</t>
  </si>
  <si>
    <t xml:space="preserve">Key Points and Risks</t>
  </si>
  <si>
    <t xml:space="preserve">• At $1,046, MU trades at 5.2x consensus forward EPS: cheap on peak earnings, but memory earnings have never stayed at peak. FY2021–FY2025 operating margins ranged from −37% to +32% (average 10%); FY2026 was 75%.</t>
  </si>
  <si>
    <t xml:space="preserve">• Base case ($534, −49%): FY'27E revenue $242B (in line with the FQ1-27 guide), then a two-year downturn to a normalized FY'31E of $158B (still 4x FY2025) at a 40% operating margin, four times the old cycle average.</t>
  </si>
  <si>
    <t xml:space="preserve">• To justify today's price at a 13% cost of equity, normalized FY'31E free cash flow must be about 3.6x the base case (~$144B a year), i.e. near-peak profits for good. Even the Bullish case ($938) falls short; only Bullish plus the peer-implied 9.5% cost of equity ($1,351) clears the price.</t>
  </si>
  <si>
    <t xml:space="preserve">• Upside case for the stock: HBM and multi-year Strategic Customer Agreements ($12.9B of customer prepayments) could make AI memory less cyclical than the past. That is the bet the market is making.</t>
  </si>
  <si>
    <t xml:space="preserve">• Comps flatter MU because peers (NVDA, SNDK, AVGO) are also valued on peak AI earnings; applying peer P/Es to model through-cycle EPS ($89) gives $1,250–1,580, closer to the price. Cost of equity is the other big swing: CAPM (16.5%) vs. peer-implied (9.5%).</t>
  </si>
  <si>
    <t xml:space="preserve">Scenario Snapshot (values captured by switching Assumptions!D19 and recalculating)</t>
  </si>
  <si>
    <t xml:space="preserve">Metric</t>
  </si>
  <si>
    <t xml:space="preserve">FY'27E revenue</t>
  </si>
  <si>
    <t xml:space="preserve">FY'31E revenue</t>
  </si>
  <si>
    <t xml:space="preserve">FY'31E operating margin</t>
  </si>
  <si>
    <t xml:space="preserve">FY'27E EPS (operating)</t>
  </si>
  <si>
    <t xml:space="preserve">FY'31E EPS (operating)</t>
  </si>
  <si>
    <t xml:space="preserve">Terminal value % of operations</t>
  </si>
  <si>
    <t xml:space="preserve">Blue = pasted outputs; they do not update. Re-run by setting Assumptions!D19 to 1, 2 or 3.</t>
  </si>
  <si>
    <t xml:space="preserve">Price History: MU (daily close, Yahoo Finance)</t>
  </si>
  <si>
    <t xml:space="preserve">Date</t>
  </si>
  <si>
    <t xml:space="preserve">Close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</si>
</sst>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yyyy\-mm\-dd"/>
    <numFmt numFmtId="166" formatCode="_(\$#,##0.00_);&quot;($&quot;#,##0.00\);_(\–_)"/>
    <numFmt numFmtId="167" formatCode="_(#,##0_);\(#,##0\);_(\–_)"/>
    <numFmt numFmtId="168" formatCode="_(\$#,##0_);&quot;($&quot;#,##0\);_(\–_)"/>
    <numFmt numFmtId="169" formatCode="_(0.0%_);\(0.0%\);_(\–_)"/>
    <numFmt numFmtId="170" formatCode="0"/>
    <numFmt numFmtId="171" formatCode="_(0.00%_);\(0.00%\);_(\–_)"/>
    <numFmt numFmtId="172" formatCode="_(#,##0.00_);\(#,##0.00\);_(\–_)"/>
    <numFmt numFmtId="173" formatCode="\+0.0%;\(0.0%\);0.0%"/>
    <numFmt numFmtId="174" formatCode="\+0.0%;\-0.0%"/>
    <numFmt numFmtId="175" formatCode="0%"/>
    <numFmt numFmtId="176" formatCode="0.00\x"/>
    <numFmt numFmtId="177" formatCode="0.0000"/>
    <numFmt numFmtId="178" formatCode="_(#,##0.0_);\(#,##0.0\);_(\–_)"/>
    <numFmt numFmtId="179" formatCode="@"/>
    <numFmt numFmtId="180" formatCode="\$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color rgb="FF0A1AE4"/>
      <name val="Arial"/>
      <family val="0"/>
      <charset val="1"/>
    </font>
    <font>
      <sz val="8"/>
      <color rgb="FF008000"/>
      <name val="Arial"/>
      <family val="0"/>
      <charset val="1"/>
    </font>
    <font>
      <sz val="8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336A"/>
        <bgColor rgb="FF333333"/>
      </patternFill>
    </fill>
    <fill>
      <patternFill patternType="solid">
        <fgColor rgb="FF2F5597"/>
        <bgColor rgb="FF595959"/>
      </patternFill>
    </fill>
    <fill>
      <patternFill patternType="solid">
        <fgColor rgb="FFFFFFCC"/>
        <bgColor rgb="FFFFFFFF"/>
      </patternFill>
    </fill>
    <fill>
      <patternFill patternType="solid">
        <fgColor rgb="FFDDEBF7"/>
        <bgColor rgb="FFD9D9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8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2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1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1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3" fontId="5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9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3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6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3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A1AE4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78787"/>
      <rgbColor rgb="FF00336A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MU valuation range ($ per share)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'Valuation Summary'!C15</c:f>
              <c:strCache>
                <c:ptCount val="1"/>
                <c:pt idx="0">
                  <c:v>Low</c:v>
                </c:pt>
              </c:strCache>
            </c:strRef>
          </c:tx>
          <c:spPr>
            <a:noFill/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'Valuation Summary'!$B$16:$B$22</c:f>
              <c:strCache>
                <c:ptCount val="7"/>
                <c:pt idx="0">
                  <c:v>52-week trading range</c:v>
                </c:pt>
                <c:pt idx="1">
                  <c:v>Peer fwd P/E × consensus EPS (25th–75th)</c:v>
                </c:pt>
                <c:pt idx="2">
                  <c:v>Peer EV/EBITDA × FY26 EBITDA (25th–75th)</c:v>
                </c:pt>
                <c:pt idx="3">
                  <c:v>Peer fwd P/E × through-cycle EPS (25th–75th)</c:v>
                </c:pt>
                <c:pt idx="4">
                  <c:v>DCF – k ±1 step, g ±1 step</c:v>
                </c:pt>
                <c:pt idx="5">
                  <c:v>DCF – Conservative to Bullish scenario</c:v>
                </c:pt>
                <c:pt idx="6">
                  <c:v>Current share price ($1,046)</c:v>
                </c:pt>
              </c:strCache>
            </c:strRef>
          </c:cat>
          <c:val>
            <c:numRef>
              <c:f>'Valuation Summary'!$C$16:$C$22</c:f>
              <c:numCache>
                <c:formatCode>_(\$#,##0_);"($"#,##0\);_(\–_)</c:formatCode>
                <c:ptCount val="7"/>
                <c:pt idx="0">
                  <c:v>181.6</c:v>
                </c:pt>
                <c:pt idx="1">
                  <c:v>2843.28694174757</c:v>
                </c:pt>
                <c:pt idx="2">
                  <c:v>2766.5097951177</c:v>
                </c:pt>
                <c:pt idx="3">
                  <c:v>1252.87456315939</c:v>
                </c:pt>
                <c:pt idx="4">
                  <c:v>499.120390113438</c:v>
                </c:pt>
                <c:pt idx="5">
                  <c:v>260.048754549817</c:v>
                </c:pt>
                <c:pt idx="6">
                  <c:v>1040.55</c:v>
                </c:pt>
              </c:numCache>
            </c:numRef>
          </c:val>
        </c:ser>
        <c:ser>
          <c:idx val="1"/>
          <c:order val="1"/>
          <c:tx>
            <c:strRef>
              <c:f>'Valuation Summary'!F15</c:f>
              <c:strCache>
                <c:ptCount val="1"/>
                <c:pt idx="0">
                  <c:v>Spread</c:v>
                </c:pt>
              </c:strCache>
            </c:strRef>
          </c:tx>
          <c:spPr>
            <a:solidFill>
              <a:srgbClr val="00336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'Valuation Summary'!$B$16:$B$22</c:f>
              <c:strCache>
                <c:ptCount val="7"/>
                <c:pt idx="0">
                  <c:v>52-week trading range</c:v>
                </c:pt>
                <c:pt idx="1">
                  <c:v>Peer fwd P/E × consensus EPS (25th–75th)</c:v>
                </c:pt>
                <c:pt idx="2">
                  <c:v>Peer EV/EBITDA × FY26 EBITDA (25th–75th)</c:v>
                </c:pt>
                <c:pt idx="3">
                  <c:v>Peer fwd P/E × through-cycle EPS (25th–75th)</c:v>
                </c:pt>
                <c:pt idx="4">
                  <c:v>DCF – k ±1 step, g ±1 step</c:v>
                </c:pt>
                <c:pt idx="5">
                  <c:v>DCF – Conservative to Bullish scenario</c:v>
                </c:pt>
                <c:pt idx="6">
                  <c:v>Current share price ($1,046)</c:v>
                </c:pt>
              </c:strCache>
            </c:strRef>
          </c:cat>
          <c:val>
            <c:numRef>
              <c:f>'Valuation Summary'!$F$16:$F$22</c:f>
              <c:numCache>
                <c:formatCode>_(\$#,##0_);"($"#,##0\);_(\–_)</c:formatCode>
                <c:ptCount val="7"/>
                <c:pt idx="0">
                  <c:v>1031.96</c:v>
                </c:pt>
                <c:pt idx="1">
                  <c:v>752.186941747572</c:v>
                </c:pt>
                <c:pt idx="2">
                  <c:v>1423.40453356582</c:v>
                </c:pt>
                <c:pt idx="3">
                  <c:v>331.445930489506</c:v>
                </c:pt>
                <c:pt idx="4">
                  <c:v>78.2588782138784</c:v>
                </c:pt>
                <c:pt idx="5">
                  <c:v>677.556277655282</c:v>
                </c:pt>
                <c:pt idx="6">
                  <c:v>10</c:v>
                </c:pt>
              </c:numCache>
            </c:numRef>
          </c:val>
        </c:ser>
        <c:gapWidth val="60"/>
        <c:overlap val="100"/>
        <c:axId val="97412232"/>
        <c:axId val="96400934"/>
      </c:barChart>
      <c:catAx>
        <c:axId val="9741223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400934"/>
        <c:crosses val="autoZero"/>
        <c:auto val="1"/>
        <c:lblAlgn val="ctr"/>
        <c:lblOffset val="100"/>
        <c:noMultiLvlLbl val="0"/>
      </c:catAx>
      <c:valAx>
        <c:axId val="96400934"/>
        <c:scaling>
          <c:orientation val="minMax"/>
          <c:max val="4500"/>
          <c:min val="0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412232"/>
        <c:crosses val="autoZero"/>
        <c:crossBetween val="between"/>
        <c:majorUnit val="500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24</xdr:row>
      <xdr:rowOff>0</xdr:rowOff>
    </xdr:from>
    <xdr:to>
      <xdr:col>7</xdr:col>
      <xdr:colOff>715320</xdr:colOff>
      <xdr:row>39</xdr:row>
      <xdr:rowOff>21960</xdr:rowOff>
    </xdr:to>
    <xdr:graphicFrame>
      <xdr:nvGraphicFramePr>
        <xdr:cNvPr id="0" name="Chart 1"/>
        <xdr:cNvGraphicFramePr/>
      </xdr:nvGraphicFramePr>
      <xdr:xfrm>
        <a:off x="141120" y="457200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70"/>
  </cols>
  <sheetData>
    <row r="2" customFormat="false" ht="1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5" t="s">
        <v>4</v>
      </c>
    </row>
    <row r="9" customFormat="false" ht="15" hidden="false" customHeight="false" outlineLevel="0" collapsed="false">
      <c r="B9" s="2" t="s">
        <v>5</v>
      </c>
    </row>
    <row r="10" customFormat="false" ht="45.75" hidden="false" customHeight="true" outlineLevel="0" collapsed="false">
      <c r="B10" s="6" t="s">
        <v>6</v>
      </c>
      <c r="C10" s="6"/>
    </row>
    <row r="11" customFormat="false" ht="45.75" hidden="false" customHeight="true" outlineLevel="0" collapsed="false">
      <c r="B11" s="6" t="s">
        <v>7</v>
      </c>
      <c r="C11" s="6"/>
    </row>
    <row r="12" customFormat="false" ht="45.75" hidden="false" customHeight="true" outlineLevel="0" collapsed="false">
      <c r="B12" s="6" t="s">
        <v>8</v>
      </c>
      <c r="C12" s="6"/>
    </row>
    <row r="13" customFormat="false" ht="45.75" hidden="false" customHeight="true" outlineLevel="0" collapsed="false">
      <c r="B13" s="6" t="s">
        <v>9</v>
      </c>
      <c r="C13" s="6"/>
    </row>
    <row r="14" customFormat="false" ht="45.75" hidden="false" customHeight="true" outlineLevel="0" collapsed="false">
      <c r="B14" s="6" t="s">
        <v>10</v>
      </c>
      <c r="C14" s="6"/>
    </row>
    <row r="15" customFormat="false" ht="45.75" hidden="false" customHeight="true" outlineLevel="0" collapsed="false">
      <c r="B15" s="6" t="s">
        <v>11</v>
      </c>
      <c r="C15" s="6"/>
    </row>
    <row r="16" customFormat="false" ht="45.75" hidden="false" customHeight="true" outlineLevel="0" collapsed="false">
      <c r="B16" s="6" t="s">
        <v>12</v>
      </c>
      <c r="C16" s="6"/>
    </row>
    <row r="17" customFormat="false" ht="45.75" hidden="false" customHeight="true" outlineLevel="0" collapsed="false">
      <c r="B17" s="6" t="s">
        <v>13</v>
      </c>
      <c r="C17" s="6"/>
    </row>
    <row r="18" customFormat="false" ht="45.75" hidden="false" customHeight="true" outlineLevel="0" collapsed="false">
      <c r="B18" s="6" t="s">
        <v>14</v>
      </c>
      <c r="C18" s="6"/>
    </row>
    <row r="19" customFormat="false" ht="45.75" hidden="false" customHeight="true" outlineLevel="0" collapsed="false">
      <c r="B19" s="6" t="s">
        <v>15</v>
      </c>
      <c r="C19" s="6"/>
    </row>
  </sheetData>
  <mergeCells count="10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0"/>
    <col collapsed="false" customWidth="true" hidden="false" outlineLevel="0" max="3" min="3" style="0" width="2"/>
    <col collapsed="false" customWidth="true" hidden="false" outlineLevel="0" max="4" min="4" style="0" width="12"/>
    <col collapsed="false" customWidth="true" hidden="false" outlineLevel="0" max="5" min="5" style="0" width="2"/>
    <col collapsed="false" customWidth="true" hidden="false" outlineLevel="0" max="8" min="6" style="0" width="12"/>
    <col collapsed="false" customWidth="true" hidden="false" outlineLevel="0" max="9" min="9" style="0" width="2"/>
    <col collapsed="false" customWidth="true" hidden="false" outlineLevel="0" max="10" min="10" style="0" width="70"/>
  </cols>
  <sheetData>
    <row r="2" customFormat="false" ht="15" hidden="false" customHeight="false" outlineLevel="0" collapsed="false">
      <c r="B2" s="1" t="s">
        <v>16</v>
      </c>
    </row>
    <row r="3" customFormat="false" ht="15" hidden="false" customHeight="false" outlineLevel="0" collapsed="false">
      <c r="B3" s="7" t="s">
        <v>17</v>
      </c>
    </row>
    <row r="5" customFormat="false" ht="15" hidden="false" customHeight="false" outlineLevel="0" collapsed="false">
      <c r="B5" s="8" t="s">
        <v>18</v>
      </c>
      <c r="C5" s="9"/>
      <c r="D5" s="9"/>
      <c r="E5" s="9"/>
      <c r="F5" s="9"/>
      <c r="G5" s="9"/>
      <c r="H5" s="9"/>
      <c r="I5" s="9"/>
      <c r="J5" s="9"/>
    </row>
    <row r="6" customFormat="false" ht="15" hidden="false" customHeight="false" outlineLevel="0" collapsed="false">
      <c r="B6" s="5" t="s">
        <v>19</v>
      </c>
      <c r="D6" s="10" t="n">
        <v>46296</v>
      </c>
      <c r="J6" s="7" t="s">
        <v>20</v>
      </c>
    </row>
    <row r="7" customFormat="false" ht="15" hidden="false" customHeight="false" outlineLevel="0" collapsed="false">
      <c r="B7" s="5" t="s">
        <v>21</v>
      </c>
      <c r="D7" s="11" t="s">
        <v>22</v>
      </c>
      <c r="J7" s="7" t="s">
        <v>23</v>
      </c>
    </row>
    <row r="8" customFormat="false" ht="15" hidden="false" customHeight="false" outlineLevel="0" collapsed="false">
      <c r="B8" s="5" t="s">
        <v>24</v>
      </c>
      <c r="D8" s="12" t="n">
        <v>1045.55</v>
      </c>
      <c r="J8" s="7" t="s">
        <v>25</v>
      </c>
    </row>
    <row r="9" customFormat="false" ht="15" hidden="false" customHeight="false" outlineLevel="0" collapsed="false">
      <c r="B9" s="5" t="s">
        <v>26</v>
      </c>
      <c r="D9" s="13" t="n">
        <v>1147</v>
      </c>
      <c r="J9" s="7" t="s">
        <v>27</v>
      </c>
    </row>
    <row r="10" customFormat="false" ht="15" hidden="false" customHeight="false" outlineLevel="0" collapsed="false">
      <c r="B10" s="5" t="s">
        <v>28</v>
      </c>
      <c r="D10" s="14" t="n">
        <f aca="false">'Historical Financials'!H38</f>
        <v>73453</v>
      </c>
      <c r="J10" s="7" t="s">
        <v>29</v>
      </c>
    </row>
    <row r="11" customFormat="false" ht="15" hidden="false" customHeight="false" outlineLevel="0" collapsed="false">
      <c r="B11" s="5" t="s">
        <v>30</v>
      </c>
      <c r="D11" s="14" t="n">
        <f aca="false">'Historical Financials'!H49</f>
        <v>5179</v>
      </c>
      <c r="J11" s="7" t="s">
        <v>31</v>
      </c>
    </row>
    <row r="12" customFormat="false" ht="15" hidden="false" customHeight="false" outlineLevel="0" collapsed="false">
      <c r="B12" s="5" t="s">
        <v>32</v>
      </c>
      <c r="D12" s="14" t="n">
        <f aca="false">'Historical Financials'!H50</f>
        <v>12895</v>
      </c>
      <c r="J12" s="7" t="s">
        <v>33</v>
      </c>
    </row>
    <row r="13" customFormat="false" ht="15" hidden="false" customHeight="false" outlineLevel="0" collapsed="false">
      <c r="B13" s="5" t="s">
        <v>34</v>
      </c>
      <c r="D13" s="10" t="n">
        <v>46632</v>
      </c>
      <c r="J13" s="7" t="s">
        <v>35</v>
      </c>
    </row>
    <row r="14" customFormat="false" ht="15" hidden="false" customHeight="false" outlineLevel="0" collapsed="false">
      <c r="B14" s="5" t="s">
        <v>36</v>
      </c>
      <c r="D14" s="15" t="n">
        <f aca="false">YEARFRAC(D6,D13,1)</f>
        <v>0.920547945205479</v>
      </c>
      <c r="J14" s="7" t="s">
        <v>37</v>
      </c>
    </row>
    <row r="15" customFormat="false" ht="15" hidden="false" customHeight="false" outlineLevel="0" collapsed="false">
      <c r="B15" s="5" t="s">
        <v>38</v>
      </c>
      <c r="D15" s="16" t="n">
        <v>1</v>
      </c>
      <c r="J15" s="7" t="s">
        <v>39</v>
      </c>
    </row>
    <row r="17" customFormat="false" ht="15" hidden="false" customHeight="false" outlineLevel="0" collapsed="false">
      <c r="B17" s="8" t="s">
        <v>40</v>
      </c>
      <c r="C17" s="9"/>
      <c r="D17" s="9"/>
      <c r="E17" s="9"/>
      <c r="F17" s="9"/>
      <c r="G17" s="9"/>
      <c r="H17" s="9"/>
      <c r="I17" s="9"/>
      <c r="J17" s="9"/>
    </row>
    <row r="18" customFormat="false" ht="15" hidden="false" customHeight="false" outlineLevel="0" collapsed="false">
      <c r="B18" s="0" t="s">
        <v>41</v>
      </c>
      <c r="D18" s="2" t="s">
        <v>42</v>
      </c>
      <c r="F18" s="17" t="s">
        <v>43</v>
      </c>
      <c r="G18" s="17" t="s">
        <v>44</v>
      </c>
      <c r="H18" s="17" t="s">
        <v>45</v>
      </c>
    </row>
    <row r="19" customFormat="false" ht="15" hidden="false" customHeight="false" outlineLevel="0" collapsed="false">
      <c r="B19" s="5" t="s">
        <v>46</v>
      </c>
      <c r="D19" s="18" t="n">
        <v>1</v>
      </c>
    </row>
    <row r="20" customFormat="false" ht="15" hidden="false" customHeight="false" outlineLevel="0" collapsed="false">
      <c r="B20" s="5" t="s">
        <v>47</v>
      </c>
      <c r="D20" s="19" t="str">
        <f aca="false">CHOOSE($D$19,F18,G18,H18)</f>
        <v>Base</v>
      </c>
    </row>
    <row r="22" customFormat="false" ht="15" hidden="false" customHeight="false" outlineLevel="0" collapsed="false">
      <c r="B22" s="8" t="s">
        <v>48</v>
      </c>
      <c r="C22" s="9"/>
      <c r="D22" s="9"/>
      <c r="E22" s="9"/>
      <c r="F22" s="9"/>
      <c r="G22" s="9"/>
      <c r="H22" s="9"/>
      <c r="I22" s="9"/>
      <c r="J22" s="9"/>
    </row>
    <row r="23" customFormat="false" ht="15" hidden="false" customHeight="false" outlineLevel="0" collapsed="false">
      <c r="B23" s="5" t="s">
        <v>49</v>
      </c>
      <c r="D23" s="20" t="n">
        <f aca="false">CHOOSE($D$19,F23,G23,H23)</f>
        <v>0.6</v>
      </c>
      <c r="F23" s="21" t="n">
        <v>0.6</v>
      </c>
      <c r="G23" s="21" t="n">
        <v>0.35</v>
      </c>
      <c r="H23" s="21" t="n">
        <v>0.9</v>
      </c>
      <c r="J23" s="7" t="s">
        <v>50</v>
      </c>
    </row>
    <row r="24" customFormat="false" ht="15" hidden="false" customHeight="false" outlineLevel="0" collapsed="false">
      <c r="B24" s="5" t="s">
        <v>51</v>
      </c>
      <c r="D24" s="20" t="n">
        <f aca="false">CHOOSE($D$19,F24,G24,H24)</f>
        <v>1</v>
      </c>
      <c r="F24" s="21" t="n">
        <v>1</v>
      </c>
      <c r="G24" s="21" t="n">
        <v>0.6</v>
      </c>
      <c r="H24" s="21" t="n">
        <v>1.4</v>
      </c>
      <c r="J24" s="7" t="s">
        <v>52</v>
      </c>
    </row>
    <row r="25" customFormat="false" ht="15" hidden="false" customHeight="false" outlineLevel="0" collapsed="false">
      <c r="B25" s="5" t="s">
        <v>53</v>
      </c>
      <c r="D25" s="20" t="n">
        <f aca="false">CHOOSE($D$19,F25,G25,H25)</f>
        <v>0.8</v>
      </c>
      <c r="F25" s="21" t="n">
        <v>0.8</v>
      </c>
      <c r="G25" s="21" t="n">
        <v>0.4</v>
      </c>
      <c r="H25" s="21" t="n">
        <v>1.1</v>
      </c>
      <c r="J25" s="7" t="s">
        <v>54</v>
      </c>
    </row>
    <row r="26" customFormat="false" ht="15" hidden="false" customHeight="false" outlineLevel="0" collapsed="false">
      <c r="B26" s="5" t="s">
        <v>55</v>
      </c>
      <c r="D26" s="20" t="n">
        <f aca="false">CHOOSE($D$19,F26,G26,H26)</f>
        <v>1</v>
      </c>
      <c r="F26" s="21" t="n">
        <v>1</v>
      </c>
      <c r="G26" s="21" t="n">
        <v>0.6</v>
      </c>
      <c r="H26" s="21" t="n">
        <v>1.3</v>
      </c>
      <c r="J26" s="7" t="s">
        <v>56</v>
      </c>
    </row>
    <row r="28" customFormat="false" ht="15" hidden="false" customHeight="false" outlineLevel="0" collapsed="false">
      <c r="B28" s="8" t="s">
        <v>57</v>
      </c>
      <c r="C28" s="9"/>
      <c r="D28" s="9"/>
      <c r="E28" s="9"/>
      <c r="F28" s="9"/>
      <c r="G28" s="9"/>
      <c r="H28" s="9"/>
      <c r="I28" s="9"/>
      <c r="J28" s="9"/>
    </row>
    <row r="29" customFormat="false" ht="15" hidden="false" customHeight="false" outlineLevel="0" collapsed="false">
      <c r="B29" s="5" t="s">
        <v>58</v>
      </c>
      <c r="D29" s="20" t="n">
        <f aca="false">CHOOSE($D$19,F29,G29,H29)</f>
        <v>-0.05</v>
      </c>
      <c r="F29" s="21" t="n">
        <v>-0.05</v>
      </c>
      <c r="G29" s="21" t="n">
        <v>-0.25</v>
      </c>
      <c r="H29" s="21" t="n">
        <v>0.1</v>
      </c>
      <c r="J29" s="7" t="s">
        <v>59</v>
      </c>
    </row>
    <row r="30" customFormat="false" ht="15" hidden="false" customHeight="false" outlineLevel="0" collapsed="false">
      <c r="B30" s="5" t="s">
        <v>60</v>
      </c>
      <c r="D30" s="20" t="n">
        <f aca="false">CHOOSE($D$19,F30,G30,H30)</f>
        <v>-0.25</v>
      </c>
      <c r="F30" s="21" t="n">
        <v>-0.25</v>
      </c>
      <c r="G30" s="21" t="n">
        <v>-0.35</v>
      </c>
      <c r="H30" s="21" t="n">
        <v>-0.1</v>
      </c>
      <c r="J30" s="7" t="s">
        <v>61</v>
      </c>
    </row>
    <row r="31" customFormat="false" ht="15" hidden="false" customHeight="false" outlineLevel="0" collapsed="false">
      <c r="B31" s="5" t="s">
        <v>62</v>
      </c>
      <c r="D31" s="20" t="n">
        <f aca="false">CHOOSE($D$19,F31,G31,H31)</f>
        <v>-0.15</v>
      </c>
      <c r="F31" s="21" t="n">
        <v>-0.15</v>
      </c>
      <c r="G31" s="21" t="n">
        <v>-0.15</v>
      </c>
      <c r="H31" s="21" t="n">
        <v>-0.1</v>
      </c>
      <c r="J31" s="7" t="s">
        <v>63</v>
      </c>
    </row>
    <row r="32" customFormat="false" ht="15" hidden="false" customHeight="false" outlineLevel="0" collapsed="false">
      <c r="B32" s="5" t="s">
        <v>64</v>
      </c>
      <c r="D32" s="20" t="n">
        <f aca="false">CHOOSE($D$19,F32,G32,H32)</f>
        <v>0.08</v>
      </c>
      <c r="F32" s="21" t="n">
        <v>0.08</v>
      </c>
      <c r="G32" s="21" t="n">
        <v>0.05</v>
      </c>
      <c r="H32" s="21" t="n">
        <v>0.08</v>
      </c>
      <c r="J32" s="7" t="s">
        <v>65</v>
      </c>
    </row>
    <row r="34" customFormat="false" ht="15" hidden="false" customHeight="false" outlineLevel="0" collapsed="false">
      <c r="B34" s="8" t="s">
        <v>66</v>
      </c>
      <c r="C34" s="9"/>
      <c r="D34" s="9"/>
      <c r="E34" s="9"/>
      <c r="F34" s="9"/>
      <c r="G34" s="9"/>
      <c r="H34" s="9"/>
      <c r="I34" s="9"/>
      <c r="J34" s="9"/>
    </row>
    <row r="35" customFormat="false" ht="15" hidden="false" customHeight="false" outlineLevel="0" collapsed="false">
      <c r="B35" s="5" t="s">
        <v>49</v>
      </c>
      <c r="D35" s="20" t="n">
        <f aca="false">CHOOSE($D$19,F35,G35,H35)</f>
        <v>0.78</v>
      </c>
      <c r="F35" s="21" t="n">
        <v>0.78</v>
      </c>
      <c r="G35" s="21" t="n">
        <v>0.7</v>
      </c>
      <c r="H35" s="21" t="n">
        <v>0.8</v>
      </c>
      <c r="J35" s="7" t="s">
        <v>67</v>
      </c>
    </row>
    <row r="36" customFormat="false" ht="15" hidden="false" customHeight="false" outlineLevel="0" collapsed="false">
      <c r="B36" s="5" t="s">
        <v>51</v>
      </c>
      <c r="D36" s="20" t="n">
        <f aca="false">CHOOSE($D$19,F36,G36,H36)</f>
        <v>0.85</v>
      </c>
      <c r="F36" s="21" t="n">
        <v>0.85</v>
      </c>
      <c r="G36" s="21" t="n">
        <v>0.78</v>
      </c>
      <c r="H36" s="21" t="n">
        <v>0.88</v>
      </c>
    </row>
    <row r="37" customFormat="false" ht="15" hidden="false" customHeight="false" outlineLevel="0" collapsed="false">
      <c r="B37" s="5" t="s">
        <v>53</v>
      </c>
      <c r="D37" s="20" t="n">
        <f aca="false">CHOOSE($D$19,F37,G37,H37)</f>
        <v>0.88</v>
      </c>
      <c r="F37" s="21" t="n">
        <v>0.88</v>
      </c>
      <c r="G37" s="21" t="n">
        <v>0.8</v>
      </c>
      <c r="H37" s="21" t="n">
        <v>0.9</v>
      </c>
    </row>
    <row r="38" customFormat="false" ht="15" hidden="false" customHeight="false" outlineLevel="0" collapsed="false">
      <c r="B38" s="5" t="s">
        <v>55</v>
      </c>
      <c r="D38" s="20" t="n">
        <f aca="false">CHOOSE($D$19,F38,G38,H38)</f>
        <v>0.8</v>
      </c>
      <c r="F38" s="21" t="n">
        <v>0.8</v>
      </c>
      <c r="G38" s="21" t="n">
        <v>0.72</v>
      </c>
      <c r="H38" s="21" t="n">
        <v>0.83</v>
      </c>
    </row>
    <row r="40" customFormat="false" ht="15" hidden="false" customHeight="false" outlineLevel="0" collapsed="false">
      <c r="B40" s="8" t="s">
        <v>68</v>
      </c>
      <c r="C40" s="9"/>
      <c r="D40" s="9"/>
      <c r="E40" s="9"/>
      <c r="F40" s="9"/>
      <c r="G40" s="9"/>
      <c r="H40" s="9"/>
      <c r="I40" s="9"/>
      <c r="J40" s="9"/>
    </row>
    <row r="41" customFormat="false" ht="15" hidden="false" customHeight="false" outlineLevel="0" collapsed="false">
      <c r="B41" s="5" t="s">
        <v>49</v>
      </c>
      <c r="D41" s="20" t="n">
        <f aca="false">CHOOSE($D$19,F41,G41,H41)</f>
        <v>0.45</v>
      </c>
      <c r="F41" s="21" t="n">
        <v>0.45</v>
      </c>
      <c r="G41" s="21" t="n">
        <v>0.3</v>
      </c>
      <c r="H41" s="21" t="n">
        <v>0.55</v>
      </c>
      <c r="J41" s="7" t="s">
        <v>69</v>
      </c>
    </row>
    <row r="42" customFormat="false" ht="15" hidden="false" customHeight="false" outlineLevel="0" collapsed="false">
      <c r="B42" s="5" t="s">
        <v>51</v>
      </c>
      <c r="D42" s="20" t="n">
        <f aca="false">CHOOSE($D$19,F42,G42,H42)</f>
        <v>0.45</v>
      </c>
      <c r="F42" s="21" t="n">
        <v>0.45</v>
      </c>
      <c r="G42" s="21" t="n">
        <v>0.25</v>
      </c>
      <c r="H42" s="21" t="n">
        <v>0.55</v>
      </c>
    </row>
    <row r="43" customFormat="false" ht="15" hidden="false" customHeight="false" outlineLevel="0" collapsed="false">
      <c r="B43" s="5" t="s">
        <v>53</v>
      </c>
      <c r="D43" s="20" t="n">
        <f aca="false">CHOOSE($D$19,F43,G43,H43)</f>
        <v>0.35</v>
      </c>
      <c r="F43" s="21" t="n">
        <v>0.35</v>
      </c>
      <c r="G43" s="21" t="n">
        <v>0.15</v>
      </c>
      <c r="H43" s="21" t="n">
        <v>0.45</v>
      </c>
      <c r="J43" s="7" t="s">
        <v>70</v>
      </c>
    </row>
    <row r="44" customFormat="false" ht="15" hidden="false" customHeight="false" outlineLevel="0" collapsed="false">
      <c r="B44" s="5" t="s">
        <v>55</v>
      </c>
      <c r="D44" s="20" t="n">
        <f aca="false">CHOOSE($D$19,F44,G44,H44)</f>
        <v>0.35</v>
      </c>
      <c r="F44" s="21" t="n">
        <v>0.35</v>
      </c>
      <c r="G44" s="21" t="n">
        <v>0.15</v>
      </c>
      <c r="H44" s="21" t="n">
        <v>0.45</v>
      </c>
      <c r="J44" s="7" t="s">
        <v>71</v>
      </c>
    </row>
    <row r="46" customFormat="false" ht="15" hidden="false" customHeight="false" outlineLevel="0" collapsed="false">
      <c r="B46" s="8" t="s">
        <v>72</v>
      </c>
      <c r="C46" s="9"/>
      <c r="D46" s="9"/>
      <c r="E46" s="9"/>
      <c r="F46" s="9"/>
      <c r="G46" s="9"/>
      <c r="H46" s="9"/>
      <c r="I46" s="9"/>
      <c r="J46" s="9"/>
    </row>
    <row r="47" customFormat="false" ht="15" hidden="false" customHeight="false" outlineLevel="0" collapsed="false">
      <c r="B47" s="5" t="s">
        <v>73</v>
      </c>
      <c r="D47" s="20" t="n">
        <f aca="false">CHOOSE($D$19,F47,G47,H47)</f>
        <v>0.012</v>
      </c>
      <c r="F47" s="21" t="n">
        <v>0.012</v>
      </c>
      <c r="G47" s="21" t="n">
        <v>0.015</v>
      </c>
      <c r="H47" s="21" t="n">
        <v>0.01</v>
      </c>
      <c r="J47" s="7" t="s">
        <v>74</v>
      </c>
    </row>
    <row r="48" customFormat="false" ht="15" hidden="false" customHeight="false" outlineLevel="0" collapsed="false">
      <c r="B48" s="5" t="s">
        <v>75</v>
      </c>
      <c r="D48" s="20" t="n">
        <f aca="false">CHOOSE($D$19,F48,G48,H48)</f>
        <v>0.15</v>
      </c>
      <c r="F48" s="21" t="n">
        <v>0.15</v>
      </c>
      <c r="G48" s="21" t="n">
        <v>0.18</v>
      </c>
      <c r="H48" s="21" t="n">
        <v>0.14</v>
      </c>
      <c r="J48" s="7" t="s">
        <v>76</v>
      </c>
    </row>
    <row r="49" customFormat="false" ht="15" hidden="false" customHeight="false" outlineLevel="0" collapsed="false">
      <c r="B49" s="5" t="s">
        <v>77</v>
      </c>
      <c r="D49" s="20" t="n">
        <f aca="false">CHOOSE($D$19,F49,G49,H49)</f>
        <v>0.2</v>
      </c>
      <c r="F49" s="21" t="n">
        <v>0.2</v>
      </c>
      <c r="G49" s="21" t="n">
        <v>0.2</v>
      </c>
      <c r="H49" s="21" t="n">
        <v>0.2</v>
      </c>
      <c r="J49" s="7" t="s">
        <v>78</v>
      </c>
    </row>
    <row r="50" customFormat="false" ht="15" hidden="false" customHeight="false" outlineLevel="0" collapsed="false">
      <c r="B50" s="5" t="s">
        <v>79</v>
      </c>
      <c r="D50" s="20" t="n">
        <f aca="false">CHOOSE($D$19,F50,G50,H50)</f>
        <v>0.18</v>
      </c>
      <c r="F50" s="21" t="n">
        <v>0.18</v>
      </c>
      <c r="G50" s="21" t="n">
        <v>0.2</v>
      </c>
      <c r="H50" s="21" t="n">
        <v>0.17</v>
      </c>
      <c r="J50" s="7" t="s">
        <v>80</v>
      </c>
    </row>
    <row r="51" customFormat="false" ht="15" hidden="false" customHeight="false" outlineLevel="0" collapsed="false">
      <c r="B51" s="5" t="s">
        <v>81</v>
      </c>
      <c r="D51" s="20" t="n">
        <f aca="false">CHOOSE($D$19,F51,G51,H51)</f>
        <v>0.25</v>
      </c>
      <c r="F51" s="21" t="n">
        <v>0.25</v>
      </c>
      <c r="G51" s="21" t="n">
        <v>0.28</v>
      </c>
      <c r="H51" s="21" t="n">
        <v>0.24</v>
      </c>
      <c r="J51" s="7" t="s">
        <v>82</v>
      </c>
    </row>
    <row r="52" customFormat="false" ht="15" hidden="false" customHeight="false" outlineLevel="0" collapsed="false">
      <c r="B52" s="5" t="s">
        <v>83</v>
      </c>
      <c r="D52" s="20" t="n">
        <f aca="false">CHOOSE($D$19,F52,G52,H52)</f>
        <v>0.15</v>
      </c>
      <c r="F52" s="21" t="n">
        <v>0.15</v>
      </c>
      <c r="G52" s="21" t="n">
        <v>0.16</v>
      </c>
      <c r="H52" s="21" t="n">
        <v>0.14</v>
      </c>
      <c r="J52" s="7" t="s">
        <v>84</v>
      </c>
    </row>
    <row r="53" customFormat="false" ht="15" hidden="false" customHeight="false" outlineLevel="0" collapsed="false">
      <c r="B53" s="5" t="s">
        <v>85</v>
      </c>
      <c r="D53" s="20" t="n">
        <f aca="false">CHOOSE($D$19,F53,G53,H53)</f>
        <v>0.03</v>
      </c>
      <c r="F53" s="21" t="n">
        <v>0.03</v>
      </c>
      <c r="G53" s="21" t="n">
        <v>0.025</v>
      </c>
      <c r="H53" s="21" t="n">
        <v>0.035</v>
      </c>
      <c r="J53" s="7" t="s">
        <v>86</v>
      </c>
    </row>
    <row r="55" customFormat="false" ht="15" hidden="false" customHeight="false" outlineLevel="0" collapsed="false">
      <c r="B55" s="8" t="s">
        <v>87</v>
      </c>
      <c r="C55" s="9"/>
      <c r="D55" s="9"/>
      <c r="E55" s="9"/>
      <c r="F55" s="9"/>
      <c r="G55" s="9"/>
      <c r="H55" s="9"/>
      <c r="I55" s="9"/>
      <c r="J55" s="9"/>
    </row>
    <row r="56" customFormat="false" ht="15" hidden="false" customHeight="false" outlineLevel="0" collapsed="false">
      <c r="B56" s="5" t="s">
        <v>88</v>
      </c>
      <c r="D56" s="22" t="n">
        <v>0.05308</v>
      </c>
      <c r="J56" s="7" t="s">
        <v>89</v>
      </c>
    </row>
    <row r="57" customFormat="false" ht="15" hidden="false" customHeight="false" outlineLevel="0" collapsed="false">
      <c r="B57" s="5" t="s">
        <v>90</v>
      </c>
      <c r="D57" s="23" t="n">
        <v>2.23</v>
      </c>
      <c r="J57" s="7" t="s">
        <v>91</v>
      </c>
    </row>
    <row r="58" customFormat="false" ht="15" hidden="false" customHeight="false" outlineLevel="0" collapsed="false">
      <c r="B58" s="5" t="s">
        <v>92</v>
      </c>
      <c r="D58" s="21" t="n">
        <v>0.05</v>
      </c>
      <c r="J58" s="7" t="s">
        <v>93</v>
      </c>
    </row>
    <row r="59" customFormat="false" ht="15" hidden="false" customHeight="false" outlineLevel="0" collapsed="false">
      <c r="B59" s="5" t="s">
        <v>94</v>
      </c>
      <c r="D59" s="21" t="n">
        <v>0.03</v>
      </c>
      <c r="J59" s="7" t="s">
        <v>95</v>
      </c>
    </row>
    <row r="61" customFormat="false" ht="15" hidden="false" customHeight="false" outlineLevel="0" collapsed="false">
      <c r="B61" s="8" t="s">
        <v>96</v>
      </c>
      <c r="C61" s="9"/>
      <c r="D61" s="9"/>
      <c r="E61" s="9"/>
      <c r="F61" s="9"/>
      <c r="G61" s="9"/>
      <c r="H61" s="9"/>
      <c r="I61" s="9"/>
      <c r="J61" s="9"/>
    </row>
    <row r="62" customFormat="false" ht="15" hidden="false" customHeight="false" outlineLevel="0" collapsed="false">
      <c r="B62" s="5" t="s">
        <v>97</v>
      </c>
      <c r="D62" s="21" t="n">
        <v>0.01</v>
      </c>
    </row>
    <row r="63" customFormat="false" ht="15" hidden="false" customHeight="false" outlineLevel="0" collapsed="false">
      <c r="B63" s="5" t="s">
        <v>98</v>
      </c>
      <c r="D63" s="22" t="n">
        <v>0.0025</v>
      </c>
    </row>
    <row r="66" customFormat="false" ht="15" hidden="false" customHeight="false" outlineLevel="0" collapsed="false">
      <c r="B66" s="5" t="s">
        <v>99</v>
      </c>
      <c r="D66" s="18" t="n">
        <v>3</v>
      </c>
      <c r="J66" s="7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5" min="3" style="0" width="11"/>
    <col collapsed="false" customWidth="true" hidden="false" outlineLevel="0" max="6" min="6" style="0" width="2"/>
    <col collapsed="false" customWidth="true" hidden="false" outlineLevel="0" max="11" min="7" style="0" width="11"/>
    <col collapsed="false" customWidth="true" hidden="false" outlineLevel="0" max="12" min="12" style="0" width="2"/>
    <col collapsed="false" customWidth="true" hidden="false" outlineLevel="0" max="13" min="13" style="0" width="60"/>
  </cols>
  <sheetData>
    <row r="2" customFormat="false" ht="15" hidden="false" customHeight="false" outlineLevel="0" collapsed="false">
      <c r="B2" s="1" t="s">
        <v>101</v>
      </c>
    </row>
    <row r="3" customFormat="false" ht="15" hidden="false" customHeight="false" outlineLevel="0" collapsed="false">
      <c r="B3" s="7" t="s">
        <v>17</v>
      </c>
    </row>
    <row r="5" customFormat="false" ht="15" hidden="false" customHeight="false" outlineLevel="0" collapsed="false">
      <c r="B5" s="8" t="s">
        <v>102</v>
      </c>
      <c r="C5" s="9"/>
      <c r="D5" s="9"/>
      <c r="E5" s="9"/>
      <c r="F5" s="9"/>
      <c r="G5" s="9"/>
      <c r="H5" s="9"/>
      <c r="I5" s="9"/>
      <c r="J5" s="9"/>
      <c r="K5" s="9"/>
    </row>
    <row r="6" customFormat="false" ht="15" hidden="false" customHeight="false" outlineLevel="0" collapsed="false">
      <c r="C6" s="17" t="s">
        <v>103</v>
      </c>
      <c r="D6" s="17" t="s">
        <v>104</v>
      </c>
      <c r="E6" s="17" t="s">
        <v>105</v>
      </c>
      <c r="G6" s="24" t="s">
        <v>106</v>
      </c>
      <c r="H6" s="24" t="s">
        <v>58</v>
      </c>
      <c r="I6" s="24" t="s">
        <v>60</v>
      </c>
      <c r="J6" s="24" t="s">
        <v>62</v>
      </c>
      <c r="K6" s="24" t="s">
        <v>64</v>
      </c>
    </row>
    <row r="7" customFormat="false" ht="15" hidden="false" customHeight="false" outlineLevel="0" collapsed="false">
      <c r="B7" s="5" t="s">
        <v>49</v>
      </c>
      <c r="C7" s="25" t="n">
        <f aca="false">SUM('Historical Financials'!C57:F57)</f>
        <v>13524</v>
      </c>
      <c r="D7" s="25" t="n">
        <f aca="false">SUM('Historical Financials'!G57:J57)</f>
        <v>43085</v>
      </c>
      <c r="E7" s="25" t="n">
        <f aca="false">'Historical Financials'!J57*4</f>
        <v>65132</v>
      </c>
      <c r="G7" s="26" t="n">
        <f aca="false">D7*(1+Assumptions!$D$23)</f>
        <v>68936</v>
      </c>
      <c r="H7" s="26" t="n">
        <f aca="false">G7*(1+Assumptions!$D$29)</f>
        <v>65489.2</v>
      </c>
      <c r="I7" s="26" t="n">
        <f aca="false">H7*(1+Assumptions!$D$30)</f>
        <v>49116.9</v>
      </c>
      <c r="J7" s="26" t="n">
        <f aca="false">I7*(1+Assumptions!$D$31)</f>
        <v>41749.365</v>
      </c>
      <c r="K7" s="26" t="n">
        <f aca="false">J7*(1+Assumptions!$D$32)</f>
        <v>45089.3142</v>
      </c>
      <c r="M7" s="7" t="s">
        <v>107</v>
      </c>
    </row>
    <row r="8" customFormat="false" ht="15" hidden="false" customHeight="false" outlineLevel="0" collapsed="false">
      <c r="B8" s="5" t="s">
        <v>51</v>
      </c>
      <c r="C8" s="25" t="n">
        <f aca="false">SUM('Historical Financials'!C60:F60)</f>
        <v>7229</v>
      </c>
      <c r="D8" s="25" t="n">
        <f aca="false">SUM('Historical Financials'!G60:J60)</f>
        <v>37592</v>
      </c>
      <c r="E8" s="25" t="n">
        <f aca="false">'Historical Financials'!J60*4</f>
        <v>72008</v>
      </c>
      <c r="G8" s="26" t="n">
        <f aca="false">D8*(1+Assumptions!$D$24)</f>
        <v>75184</v>
      </c>
      <c r="H8" s="26" t="n">
        <f aca="false">G8*(1+Assumptions!$D$29)</f>
        <v>71424.8</v>
      </c>
      <c r="I8" s="26" t="n">
        <f aca="false">H8*(1+Assumptions!$D$30)</f>
        <v>53568.6</v>
      </c>
      <c r="J8" s="26" t="n">
        <f aca="false">I8*(1+Assumptions!$D$31)</f>
        <v>45533.31</v>
      </c>
      <c r="K8" s="26" t="n">
        <f aca="false">J8*(1+Assumptions!$D$32)</f>
        <v>49175.9748</v>
      </c>
    </row>
    <row r="9" customFormat="false" ht="15" hidden="false" customHeight="false" outlineLevel="0" collapsed="false">
      <c r="B9" s="5" t="s">
        <v>53</v>
      </c>
      <c r="C9" s="25" t="n">
        <f aca="false">SUM('Historical Financials'!C63:F63)</f>
        <v>11859</v>
      </c>
      <c r="D9" s="25" t="n">
        <f aca="false">SUM('Historical Financials'!G63:J63)</f>
        <v>36601</v>
      </c>
      <c r="E9" s="25" t="n">
        <f aca="false">'Historical Financials'!J63*4</f>
        <v>52456</v>
      </c>
      <c r="G9" s="26" t="n">
        <f aca="false">D9*(1+Assumptions!$D$25)</f>
        <v>65881.8</v>
      </c>
      <c r="H9" s="26" t="n">
        <f aca="false">G9*(1+Assumptions!$D$29)</f>
        <v>62587.71</v>
      </c>
      <c r="I9" s="26" t="n">
        <f aca="false">H9*(1+Assumptions!$D$30)</f>
        <v>46940.7825</v>
      </c>
      <c r="J9" s="26" t="n">
        <f aca="false">I9*(1+Assumptions!$D$31)</f>
        <v>39899.665125</v>
      </c>
      <c r="K9" s="26" t="n">
        <f aca="false">J9*(1+Assumptions!$D$32)</f>
        <v>43091.638335</v>
      </c>
    </row>
    <row r="10" customFormat="false" ht="15" hidden="false" customHeight="false" outlineLevel="0" collapsed="false">
      <c r="B10" s="5" t="s">
        <v>55</v>
      </c>
      <c r="C10" s="25" t="n">
        <f aca="false">SUM('Historical Financials'!C66:F66)</f>
        <v>4753</v>
      </c>
      <c r="D10" s="25" t="n">
        <f aca="false">SUM('Historical Financials'!G66:J66)</f>
        <v>15886</v>
      </c>
      <c r="E10" s="25" t="n">
        <f aca="false">'Historical Financials'!J66*4</f>
        <v>27296</v>
      </c>
      <c r="G10" s="26" t="n">
        <f aca="false">D10*(1+Assumptions!$D$26)</f>
        <v>31772</v>
      </c>
      <c r="H10" s="26" t="n">
        <f aca="false">G10*(1+Assumptions!$D$29)</f>
        <v>30183.4</v>
      </c>
      <c r="I10" s="26" t="n">
        <f aca="false">H10*(1+Assumptions!$D$30)</f>
        <v>22637.55</v>
      </c>
      <c r="J10" s="26" t="n">
        <f aca="false">I10*(1+Assumptions!$D$31)</f>
        <v>19241.9175</v>
      </c>
      <c r="K10" s="26" t="n">
        <f aca="false">J10*(1+Assumptions!$D$32)</f>
        <v>20781.2709</v>
      </c>
    </row>
    <row r="11" customFormat="false" ht="15" hidden="false" customHeight="false" outlineLevel="0" collapsed="false">
      <c r="B11" s="5" t="s">
        <v>108</v>
      </c>
      <c r="C11" s="25" t="n">
        <f aca="false">'Historical Financials'!G7-SUM(C7:C10)</f>
        <v>13</v>
      </c>
      <c r="D11" s="25" t="n">
        <f aca="false">'Historical Financials'!H7-SUM(D7:D10)</f>
        <v>24</v>
      </c>
      <c r="E11" s="25" t="n">
        <f aca="false">'Historical Financials'!J69*4-SUM(E7:E10)</f>
        <v>24</v>
      </c>
      <c r="G11" s="26" t="n">
        <v>0</v>
      </c>
      <c r="H11" s="26" t="n">
        <v>0</v>
      </c>
      <c r="I11" s="26" t="n">
        <v>0</v>
      </c>
      <c r="J11" s="26" t="n">
        <v>0</v>
      </c>
      <c r="K11" s="26" t="n">
        <v>0</v>
      </c>
    </row>
    <row r="12" customFormat="false" ht="15" hidden="false" customHeight="false" outlineLevel="0" collapsed="false">
      <c r="B12" s="2" t="s">
        <v>109</v>
      </c>
      <c r="C12" s="27" t="n">
        <f aca="false">SUM(C7:C11)</f>
        <v>37378</v>
      </c>
      <c r="D12" s="27" t="n">
        <f aca="false">SUM(D7:D11)</f>
        <v>133188</v>
      </c>
      <c r="E12" s="27" t="n">
        <f aca="false">SUM(E7:E11)</f>
        <v>216916</v>
      </c>
      <c r="G12" s="27" t="n">
        <f aca="false">SUM(G7:G11)</f>
        <v>241773.8</v>
      </c>
      <c r="H12" s="27" t="n">
        <f aca="false">SUM(H7:H11)</f>
        <v>229685.11</v>
      </c>
      <c r="I12" s="27" t="n">
        <f aca="false">SUM(I7:I11)</f>
        <v>172263.8325</v>
      </c>
      <c r="J12" s="27" t="n">
        <f aca="false">SUM(J7:J11)</f>
        <v>146424.257625</v>
      </c>
      <c r="K12" s="27" t="n">
        <f aca="false">SUM(K7:K11)</f>
        <v>158138.198235</v>
      </c>
    </row>
    <row r="13" customFormat="false" ht="15" hidden="false" customHeight="false" outlineLevel="0" collapsed="false">
      <c r="B13" s="5" t="s">
        <v>110</v>
      </c>
      <c r="D13" s="28" t="n">
        <f aca="false">D12/C12-1</f>
        <v>2.56327251324308</v>
      </c>
      <c r="G13" s="28" t="n">
        <f aca="false">G12/D12-1</f>
        <v>0.815282157551731</v>
      </c>
      <c r="H13" s="28" t="n">
        <f aca="false">H12/G12-1</f>
        <v>-0.05</v>
      </c>
      <c r="I13" s="28" t="n">
        <f aca="false">I12/H12-1</f>
        <v>-0.25</v>
      </c>
      <c r="J13" s="28" t="n">
        <f aca="false">J12/I12-1</f>
        <v>-0.15</v>
      </c>
      <c r="K13" s="28" t="n">
        <f aca="false">K12/J12-1</f>
        <v>0.0800000000000001</v>
      </c>
    </row>
    <row r="15" customFormat="false" ht="15" hidden="false" customHeight="false" outlineLevel="0" collapsed="false">
      <c r="B15" s="8" t="s">
        <v>111</v>
      </c>
      <c r="C15" s="9"/>
      <c r="D15" s="9"/>
      <c r="E15" s="9"/>
      <c r="F15" s="9"/>
      <c r="G15" s="9"/>
      <c r="H15" s="9"/>
      <c r="I15" s="9"/>
      <c r="J15" s="9"/>
      <c r="K15" s="9"/>
    </row>
    <row r="16" customFormat="false" ht="15" hidden="false" customHeight="false" outlineLevel="0" collapsed="false">
      <c r="C16" s="17" t="s">
        <v>103</v>
      </c>
      <c r="D16" s="17" t="s">
        <v>104</v>
      </c>
      <c r="E16" s="17" t="s">
        <v>105</v>
      </c>
      <c r="G16" s="24" t="s">
        <v>106</v>
      </c>
      <c r="H16" s="24" t="s">
        <v>58</v>
      </c>
      <c r="I16" s="24" t="s">
        <v>60</v>
      </c>
      <c r="J16" s="24" t="s">
        <v>62</v>
      </c>
      <c r="K16" s="24" t="s">
        <v>64</v>
      </c>
    </row>
    <row r="17" customFormat="false" ht="15" hidden="false" customHeight="false" outlineLevel="0" collapsed="false">
      <c r="B17" s="5" t="s">
        <v>49</v>
      </c>
      <c r="C17" s="25" t="n">
        <f aca="false">SUM('Historical Financials'!C59:F59)</f>
        <v>6123.55</v>
      </c>
      <c r="D17" s="25" t="n">
        <f aca="false">SUM('Historical Financials'!G59:J59)</f>
        <v>31135.44</v>
      </c>
      <c r="E17" s="25" t="n">
        <f aca="false">'Historical Financials'!J59*4</f>
        <v>49500.32</v>
      </c>
      <c r="G17" s="26" t="n">
        <f aca="false">G7*G27</f>
        <v>53770.08</v>
      </c>
      <c r="H17" s="26" t="n">
        <f aca="false">H7*H27</f>
        <v>45678.717</v>
      </c>
      <c r="I17" s="26" t="n">
        <f aca="false">I7*I27</f>
        <v>30206.8935</v>
      </c>
      <c r="J17" s="26" t="n">
        <f aca="false">J7*J27</f>
        <v>22231.5368625</v>
      </c>
      <c r="K17" s="26" t="n">
        <f aca="false">K7*K27</f>
        <v>20290.19139</v>
      </c>
    </row>
    <row r="18" customFormat="false" ht="15" hidden="false" customHeight="false" outlineLevel="0" collapsed="false">
      <c r="B18" s="5" t="s">
        <v>51</v>
      </c>
      <c r="C18" s="25" t="n">
        <f aca="false">SUM('Historical Financials'!C62:F62)</f>
        <v>2175.11</v>
      </c>
      <c r="D18" s="25" t="n">
        <f aca="false">SUM('Historical Financials'!G62:J62)</f>
        <v>29557.14</v>
      </c>
      <c r="E18" s="25" t="n">
        <f aca="false">'Historical Financials'!J62*4</f>
        <v>61206.8</v>
      </c>
      <c r="G18" s="26" t="n">
        <f aca="false">G8*G28</f>
        <v>63906.4</v>
      </c>
      <c r="H18" s="26" t="n">
        <f aca="false">H8*H28</f>
        <v>53568.6</v>
      </c>
      <c r="I18" s="26" t="n">
        <f aca="false">I8*I28</f>
        <v>34819.59</v>
      </c>
      <c r="J18" s="26" t="n">
        <f aca="false">J8*J28</f>
        <v>25043.3205</v>
      </c>
      <c r="K18" s="26" t="n">
        <f aca="false">K8*K28</f>
        <v>22129.18866</v>
      </c>
    </row>
    <row r="19" customFormat="false" ht="15" hidden="false" customHeight="false" outlineLevel="0" collapsed="false">
      <c r="B19" s="5" t="s">
        <v>53</v>
      </c>
      <c r="C19" s="25" t="n">
        <f aca="false">SUM('Historical Financials'!C65:F65)</f>
        <v>1992.21</v>
      </c>
      <c r="D19" s="25" t="n">
        <f aca="false">SUM('Historical Financials'!G65:J65)</f>
        <v>29308.59</v>
      </c>
      <c r="E19" s="25" t="n">
        <f aca="false">'Historical Financials'!J65*4</f>
        <v>46161.28</v>
      </c>
      <c r="G19" s="26" t="n">
        <f aca="false">G9*G29</f>
        <v>57975.984</v>
      </c>
      <c r="H19" s="26" t="n">
        <f aca="false">H9*H29</f>
        <v>46784.313225</v>
      </c>
      <c r="I19" s="26" t="n">
        <f aca="false">I9*I29</f>
        <v>28868.5812375</v>
      </c>
      <c r="J19" s="26" t="n">
        <f aca="false">J9*J29</f>
        <v>19251.5884228125</v>
      </c>
      <c r="K19" s="26" t="n">
        <f aca="false">K9*K29</f>
        <v>15082.07341725</v>
      </c>
    </row>
    <row r="20" customFormat="false" ht="15" hidden="false" customHeight="false" outlineLevel="0" collapsed="false">
      <c r="B20" s="5" t="s">
        <v>55</v>
      </c>
      <c r="C20" s="25" t="n">
        <f aca="false">SUM('Historical Financials'!C68:F68)</f>
        <v>553.87</v>
      </c>
      <c r="D20" s="25" t="n">
        <f aca="false">SUM('Historical Financials'!G68:J68)</f>
        <v>11164.62</v>
      </c>
      <c r="E20" s="25" t="n">
        <f aca="false">'Historical Financials'!J68*4</f>
        <v>21563.84</v>
      </c>
      <c r="G20" s="26" t="n">
        <f aca="false">G10*G30</f>
        <v>25417.6</v>
      </c>
      <c r="H20" s="26" t="n">
        <f aca="false">H10*H30</f>
        <v>20751.0875</v>
      </c>
      <c r="I20" s="26" t="n">
        <f aca="false">I10*I30</f>
        <v>13016.59125</v>
      </c>
      <c r="J20" s="26" t="n">
        <f aca="false">J10*J30</f>
        <v>8899.38684375</v>
      </c>
      <c r="K20" s="26" t="n">
        <f aca="false">K10*K30</f>
        <v>7273.444815</v>
      </c>
    </row>
    <row r="21" customFormat="false" ht="15" hidden="false" customHeight="false" outlineLevel="0" collapsed="false">
      <c r="B21" s="5" t="s">
        <v>112</v>
      </c>
      <c r="C21" s="25" t="n">
        <f aca="false">SUM('Historical Financials'!C71:F71)</f>
        <v>-1074.74</v>
      </c>
      <c r="D21" s="25" t="n">
        <f aca="false">SUM('Historical Financials'!G71:J71)</f>
        <v>-1825.79</v>
      </c>
      <c r="E21" s="25" t="n">
        <f aca="false">'Historical Financials'!J71*4</f>
        <v>-3428.24</v>
      </c>
      <c r="G21" s="26" t="n">
        <f aca="false">-G12*Assumptions!$D$47</f>
        <v>-2901.2856</v>
      </c>
      <c r="H21" s="26" t="n">
        <f aca="false">-H12*Assumptions!$D$47</f>
        <v>-2756.22132</v>
      </c>
      <c r="I21" s="26" t="n">
        <f aca="false">-I12*Assumptions!$D$47</f>
        <v>-2067.16599</v>
      </c>
      <c r="J21" s="26" t="n">
        <f aca="false">-J12*Assumptions!$D$47</f>
        <v>-1757.0910915</v>
      </c>
      <c r="K21" s="26" t="n">
        <f aca="false">-K12*Assumptions!$D$47</f>
        <v>-1897.65837882</v>
      </c>
    </row>
    <row r="22" customFormat="false" ht="15" hidden="false" customHeight="false" outlineLevel="0" collapsed="false">
      <c r="B22" s="2" t="s">
        <v>113</v>
      </c>
      <c r="C22" s="27" t="n">
        <f aca="false">SUM(C17:C21)</f>
        <v>9770</v>
      </c>
      <c r="D22" s="27" t="n">
        <f aca="false">SUM(D17:D21)</f>
        <v>99340</v>
      </c>
      <c r="E22" s="27" t="n">
        <f aca="false">SUM(E17:E21)</f>
        <v>175004</v>
      </c>
      <c r="G22" s="27" t="n">
        <f aca="false">SUM(G17:G21)</f>
        <v>198168.7784</v>
      </c>
      <c r="H22" s="27" t="n">
        <f aca="false">SUM(H17:H21)</f>
        <v>164026.496405</v>
      </c>
      <c r="I22" s="27" t="n">
        <f aca="false">SUM(I17:I21)</f>
        <v>104844.4899975</v>
      </c>
      <c r="J22" s="27" t="n">
        <f aca="false">SUM(J17:J21)</f>
        <v>73668.7415375625</v>
      </c>
      <c r="K22" s="27" t="n">
        <f aca="false">SUM(K17:K21)</f>
        <v>62877.23990343</v>
      </c>
      <c r="M22" s="7" t="s">
        <v>114</v>
      </c>
    </row>
    <row r="23" customFormat="false" ht="15" hidden="false" customHeight="false" outlineLevel="0" collapsed="false">
      <c r="B23" s="5" t="s">
        <v>115</v>
      </c>
      <c r="C23" s="28" t="n">
        <f aca="false">C22/C12</f>
        <v>0.261383701642678</v>
      </c>
      <c r="D23" s="28" t="n">
        <f aca="false">D22/D12</f>
        <v>0.745862990659819</v>
      </c>
      <c r="E23" s="28" t="n">
        <f aca="false">E22/E12</f>
        <v>0.806782348927696</v>
      </c>
      <c r="G23" s="28" t="n">
        <f aca="false">G22/G12</f>
        <v>0.81964538093044</v>
      </c>
      <c r="H23" s="28" t="n">
        <f aca="false">H22/H12</f>
        <v>0.714136394845099</v>
      </c>
      <c r="I23" s="28" t="n">
        <f aca="false">I22/I12</f>
        <v>0.608627408759758</v>
      </c>
      <c r="J23" s="28" t="n">
        <f aca="false">J22/J12</f>
        <v>0.503118422674417</v>
      </c>
      <c r="K23" s="28" t="n">
        <f aca="false">K22/K12</f>
        <v>0.397609436589076</v>
      </c>
    </row>
    <row r="25" customFormat="false" ht="15" hidden="false" customHeight="false" outlineLevel="0" collapsed="false">
      <c r="B25" s="8" t="s">
        <v>116</v>
      </c>
      <c r="C25" s="9"/>
      <c r="D25" s="9"/>
      <c r="E25" s="9"/>
      <c r="F25" s="9"/>
      <c r="G25" s="9"/>
      <c r="H25" s="9"/>
      <c r="I25" s="9"/>
      <c r="J25" s="9"/>
      <c r="K25" s="9"/>
    </row>
    <row r="26" customFormat="false" ht="15" hidden="false" customHeight="false" outlineLevel="0" collapsed="false">
      <c r="C26" s="17" t="s">
        <v>103</v>
      </c>
      <c r="D26" s="17" t="s">
        <v>104</v>
      </c>
      <c r="E26" s="17" t="s">
        <v>105</v>
      </c>
      <c r="G26" s="24" t="s">
        <v>106</v>
      </c>
      <c r="H26" s="24" t="s">
        <v>58</v>
      </c>
      <c r="I26" s="24" t="s">
        <v>60</v>
      </c>
      <c r="J26" s="24" t="s">
        <v>62</v>
      </c>
      <c r="K26" s="24" t="s">
        <v>64</v>
      </c>
    </row>
    <row r="27" customFormat="false" ht="15" hidden="false" customHeight="false" outlineLevel="0" collapsed="false">
      <c r="B27" s="5" t="s">
        <v>49</v>
      </c>
      <c r="C27" s="28" t="n">
        <f aca="false">C17/C7</f>
        <v>0.452791333924874</v>
      </c>
      <c r="D27" s="28" t="n">
        <f aca="false">D17/D7</f>
        <v>0.722651502843217</v>
      </c>
      <c r="E27" s="28" t="n">
        <f aca="false">E17/E7</f>
        <v>0.76</v>
      </c>
      <c r="G27" s="29" t="n">
        <f aca="false">Assumptions!$D$35+(Assumptions!$D$41-Assumptions!$D$35)*0/4</f>
        <v>0.78</v>
      </c>
      <c r="H27" s="29" t="n">
        <f aca="false">Assumptions!$D$35+(Assumptions!$D$41-Assumptions!$D$35)*1/4</f>
        <v>0.6975</v>
      </c>
      <c r="I27" s="29" t="n">
        <f aca="false">Assumptions!$D$35+(Assumptions!$D$41-Assumptions!$D$35)*2/4</f>
        <v>0.615</v>
      </c>
      <c r="J27" s="29" t="n">
        <f aca="false">Assumptions!$D$35+(Assumptions!$D$41-Assumptions!$D$35)*3/4</f>
        <v>0.5325</v>
      </c>
      <c r="K27" s="29" t="n">
        <f aca="false">Assumptions!$D$35+(Assumptions!$D$41-Assumptions!$D$35)*4/4</f>
        <v>0.45</v>
      </c>
    </row>
    <row r="28" customFormat="false" ht="15" hidden="false" customHeight="false" outlineLevel="0" collapsed="false">
      <c r="B28" s="5" t="s">
        <v>51</v>
      </c>
      <c r="C28" s="28" t="n">
        <f aca="false">C18/C8</f>
        <v>0.30088670632176</v>
      </c>
      <c r="D28" s="28" t="n">
        <f aca="false">D18/D8</f>
        <v>0.786261438603958</v>
      </c>
      <c r="E28" s="28" t="n">
        <f aca="false">E18/E8</f>
        <v>0.85</v>
      </c>
      <c r="G28" s="29" t="n">
        <f aca="false">Assumptions!$D$36+(Assumptions!$D$42-Assumptions!$D$36)*0/4</f>
        <v>0.85</v>
      </c>
      <c r="H28" s="29" t="n">
        <f aca="false">Assumptions!$D$36+(Assumptions!$D$42-Assumptions!$D$36)*1/4</f>
        <v>0.75</v>
      </c>
      <c r="I28" s="29" t="n">
        <f aca="false">Assumptions!$D$36+(Assumptions!$D$42-Assumptions!$D$36)*2/4</f>
        <v>0.65</v>
      </c>
      <c r="J28" s="29" t="n">
        <f aca="false">Assumptions!$D$36+(Assumptions!$D$42-Assumptions!$D$36)*3/4</f>
        <v>0.55</v>
      </c>
      <c r="K28" s="29" t="n">
        <f aca="false">Assumptions!$D$36+(Assumptions!$D$42-Assumptions!$D$36)*4/4</f>
        <v>0.45</v>
      </c>
    </row>
    <row r="29" customFormat="false" ht="15" hidden="false" customHeight="false" outlineLevel="0" collapsed="false">
      <c r="B29" s="5" t="s">
        <v>53</v>
      </c>
      <c r="C29" s="28" t="n">
        <f aca="false">C19/C9</f>
        <v>0.167991398937516</v>
      </c>
      <c r="D29" s="28" t="n">
        <f aca="false">D19/D9</f>
        <v>0.800759268872435</v>
      </c>
      <c r="E29" s="28" t="n">
        <f aca="false">E19/E9</f>
        <v>0.88</v>
      </c>
      <c r="G29" s="29" t="n">
        <f aca="false">Assumptions!$D$37+(Assumptions!$D$43-Assumptions!$D$37)*0/4</f>
        <v>0.88</v>
      </c>
      <c r="H29" s="29" t="n">
        <f aca="false">Assumptions!$D$37+(Assumptions!$D$43-Assumptions!$D$37)*1/4</f>
        <v>0.7475</v>
      </c>
      <c r="I29" s="29" t="n">
        <f aca="false">Assumptions!$D$37+(Assumptions!$D$43-Assumptions!$D$37)*2/4</f>
        <v>0.615</v>
      </c>
      <c r="J29" s="29" t="n">
        <f aca="false">Assumptions!$D$37+(Assumptions!$D$43-Assumptions!$D$37)*3/4</f>
        <v>0.4825</v>
      </c>
      <c r="K29" s="29" t="n">
        <f aca="false">Assumptions!$D$37+(Assumptions!$D$43-Assumptions!$D$37)*4/4</f>
        <v>0.35</v>
      </c>
    </row>
    <row r="30" customFormat="false" ht="15" hidden="false" customHeight="false" outlineLevel="0" collapsed="false">
      <c r="B30" s="5" t="s">
        <v>55</v>
      </c>
      <c r="C30" s="28" t="n">
        <f aca="false">C20/C10</f>
        <v>0.116530612244898</v>
      </c>
      <c r="D30" s="28" t="n">
        <f aca="false">D20/D10</f>
        <v>0.702796172730706</v>
      </c>
      <c r="E30" s="28" t="n">
        <f aca="false">E20/E10</f>
        <v>0.79</v>
      </c>
      <c r="G30" s="29" t="n">
        <f aca="false">Assumptions!$D$38+(Assumptions!$D$44-Assumptions!$D$38)*0/4</f>
        <v>0.8</v>
      </c>
      <c r="H30" s="29" t="n">
        <f aca="false">Assumptions!$D$38+(Assumptions!$D$44-Assumptions!$D$38)*1/4</f>
        <v>0.6875</v>
      </c>
      <c r="I30" s="29" t="n">
        <f aca="false">Assumptions!$D$38+(Assumptions!$D$44-Assumptions!$D$38)*2/4</f>
        <v>0.575</v>
      </c>
      <c r="J30" s="29" t="n">
        <f aca="false">Assumptions!$D$38+(Assumptions!$D$44-Assumptions!$D$38)*3/4</f>
        <v>0.4625</v>
      </c>
      <c r="K30" s="29" t="n">
        <f aca="false">Assumptions!$D$38+(Assumptions!$D$44-Assumptions!$D$38)*4/4</f>
        <v>0.35</v>
      </c>
    </row>
    <row r="33" customFormat="false" ht="15" hidden="false" customHeight="false" outlineLevel="0" collapsed="false">
      <c r="B33" s="8" t="s">
        <v>117</v>
      </c>
      <c r="C33" s="9"/>
      <c r="D33" s="9"/>
      <c r="E33" s="9"/>
      <c r="F33" s="9"/>
      <c r="G33" s="9"/>
      <c r="H33" s="9"/>
      <c r="I33" s="9"/>
      <c r="J33" s="9"/>
      <c r="K33" s="9"/>
    </row>
    <row r="34" customFormat="false" ht="15" hidden="false" customHeight="false" outlineLevel="0" collapsed="false">
      <c r="B34" s="5" t="s">
        <v>118</v>
      </c>
      <c r="G34" s="30" t="n">
        <v>61500</v>
      </c>
    </row>
    <row r="35" customFormat="false" ht="15" hidden="false" customHeight="false" outlineLevel="0" collapsed="false">
      <c r="B35" s="5" t="s">
        <v>119</v>
      </c>
      <c r="G35" s="26" t="n">
        <f aca="false">G34*4</f>
        <v>246000</v>
      </c>
    </row>
    <row r="36" customFormat="false" ht="15" hidden="false" customHeight="false" outlineLevel="0" collapsed="false">
      <c r="B36" s="5" t="s">
        <v>120</v>
      </c>
      <c r="G36" s="26" t="n">
        <f aca="false">G12</f>
        <v>241773.8</v>
      </c>
    </row>
    <row r="37" customFormat="false" ht="15" hidden="false" customHeight="false" outlineLevel="0" collapsed="false">
      <c r="B37" s="2" t="s">
        <v>121</v>
      </c>
      <c r="G37" s="31" t="n">
        <f aca="false">G36/G35-1</f>
        <v>-0.017179674796748</v>
      </c>
      <c r="M37" s="7" t="s">
        <v>122</v>
      </c>
    </row>
    <row r="38" customFormat="false" ht="15" hidden="false" customHeight="false" outlineLevel="0" collapsed="false">
      <c r="B38" s="5" t="s">
        <v>123</v>
      </c>
      <c r="G38" s="32" t="n">
        <v>0.8595</v>
      </c>
    </row>
    <row r="39" customFormat="false" ht="15" hidden="false" customHeight="false" outlineLevel="0" collapsed="false">
      <c r="B39" s="5" t="s">
        <v>124</v>
      </c>
      <c r="G39" s="30" t="n">
        <v>2310</v>
      </c>
    </row>
    <row r="40" customFormat="false" ht="15" hidden="false" customHeight="false" outlineLevel="0" collapsed="false">
      <c r="B40" s="5" t="s">
        <v>125</v>
      </c>
      <c r="G40" s="28" t="n">
        <f aca="false">G38-G39/G34</f>
        <v>0.821939024390244</v>
      </c>
    </row>
    <row r="41" customFormat="false" ht="15" hidden="false" customHeight="false" outlineLevel="0" collapsed="false">
      <c r="B41" s="5" t="s">
        <v>126</v>
      </c>
      <c r="G41" s="28" t="n">
        <f aca="false">G23</f>
        <v>0.81964538093044</v>
      </c>
    </row>
    <row r="42" customFormat="false" ht="15" hidden="false" customHeight="false" outlineLevel="0" collapsed="false">
      <c r="B42" s="2" t="s">
        <v>127</v>
      </c>
      <c r="G42" s="33" t="n">
        <f aca="false">G41-G40</f>
        <v>-0.00229364345980387</v>
      </c>
      <c r="M42" s="7" t="s">
        <v>128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10" min="3" style="0" width="11"/>
    <col collapsed="false" customWidth="true" hidden="false" outlineLevel="0" max="11" min="11" style="0" width="2"/>
    <col collapsed="false" customWidth="true" hidden="false" outlineLevel="0" max="12" min="12" style="0" width="50"/>
  </cols>
  <sheetData>
    <row r="2" customFormat="false" ht="15" hidden="false" customHeight="false" outlineLevel="0" collapsed="false">
      <c r="B2" s="1" t="s">
        <v>129</v>
      </c>
    </row>
    <row r="3" customFormat="false" ht="15" hidden="false" customHeight="false" outlineLevel="0" collapsed="false">
      <c r="B3" s="7" t="s">
        <v>17</v>
      </c>
    </row>
    <row r="5" customFormat="false" ht="15" hidden="false" customHeight="false" outlineLevel="0" collapsed="false">
      <c r="B5" s="8" t="s">
        <v>130</v>
      </c>
      <c r="C5" s="9"/>
      <c r="D5" s="9"/>
      <c r="E5" s="9"/>
      <c r="F5" s="9"/>
      <c r="G5" s="9"/>
      <c r="H5" s="9"/>
      <c r="I5" s="9"/>
      <c r="J5" s="9"/>
    </row>
    <row r="6" customFormat="false" ht="15" hidden="false" customHeight="false" outlineLevel="0" collapsed="false">
      <c r="C6" s="17" t="s">
        <v>131</v>
      </c>
      <c r="D6" s="17" t="s">
        <v>132</v>
      </c>
      <c r="E6" s="17" t="s">
        <v>133</v>
      </c>
      <c r="F6" s="17" t="s">
        <v>134</v>
      </c>
      <c r="G6" s="17" t="s">
        <v>103</v>
      </c>
      <c r="H6" s="17" t="s">
        <v>104</v>
      </c>
    </row>
    <row r="7" customFormat="false" ht="15" hidden="false" customHeight="false" outlineLevel="0" collapsed="false">
      <c r="B7" s="5" t="s">
        <v>135</v>
      </c>
      <c r="C7" s="30" t="n">
        <v>27705</v>
      </c>
      <c r="D7" s="30" t="n">
        <v>30758</v>
      </c>
      <c r="E7" s="30" t="n">
        <v>15540</v>
      </c>
      <c r="F7" s="30" t="n">
        <v>25111</v>
      </c>
      <c r="G7" s="30" t="n">
        <v>37378</v>
      </c>
      <c r="H7" s="30" t="n">
        <v>133188</v>
      </c>
    </row>
    <row r="8" customFormat="false" ht="15" hidden="false" customHeight="false" outlineLevel="0" collapsed="false">
      <c r="B8" s="5" t="s">
        <v>136</v>
      </c>
      <c r="C8" s="30" t="n">
        <v>17282</v>
      </c>
      <c r="D8" s="30" t="n">
        <v>16860</v>
      </c>
      <c r="E8" s="30" t="n">
        <v>16956</v>
      </c>
      <c r="F8" s="30" t="n">
        <v>19498</v>
      </c>
      <c r="G8" s="30" t="n">
        <v>22505</v>
      </c>
      <c r="H8" s="30" t="n">
        <v>25684</v>
      </c>
    </row>
    <row r="9" customFormat="false" ht="15" hidden="false" customHeight="false" outlineLevel="0" collapsed="false">
      <c r="B9" s="2" t="s">
        <v>137</v>
      </c>
      <c r="C9" s="34" t="n">
        <f aca="false">C7-C8</f>
        <v>10423</v>
      </c>
      <c r="D9" s="34" t="n">
        <f aca="false">D7-D8</f>
        <v>13898</v>
      </c>
      <c r="E9" s="34" t="n">
        <f aca="false">E7-E8</f>
        <v>-1416</v>
      </c>
      <c r="F9" s="34" t="n">
        <f aca="false">F7-F8</f>
        <v>5613</v>
      </c>
      <c r="G9" s="34" t="n">
        <f aca="false">G7-G8</f>
        <v>14873</v>
      </c>
      <c r="H9" s="34" t="n">
        <f aca="false">H7-H8</f>
        <v>107504</v>
      </c>
    </row>
    <row r="10" customFormat="false" ht="15" hidden="false" customHeight="false" outlineLevel="0" collapsed="false">
      <c r="B10" s="5" t="s">
        <v>138</v>
      </c>
      <c r="C10" s="28" t="n">
        <f aca="false">C9/C7</f>
        <v>0.376213679841184</v>
      </c>
      <c r="D10" s="28" t="n">
        <f aca="false">D9/D7</f>
        <v>0.451849925222706</v>
      </c>
      <c r="E10" s="28" t="n">
        <f aca="false">E9/E7</f>
        <v>-0.0911196911196911</v>
      </c>
      <c r="F10" s="28" t="n">
        <f aca="false">F9/F7</f>
        <v>0.223527537732468</v>
      </c>
      <c r="G10" s="28" t="n">
        <f aca="false">G9/G7</f>
        <v>0.397907860238643</v>
      </c>
      <c r="H10" s="28" t="n">
        <f aca="false">H9/H7</f>
        <v>0.807159804186563</v>
      </c>
    </row>
    <row r="11" customFormat="false" ht="15" hidden="false" customHeight="false" outlineLevel="0" collapsed="false">
      <c r="B11" s="5" t="s">
        <v>139</v>
      </c>
      <c r="C11" s="30" t="n">
        <v>2663</v>
      </c>
      <c r="D11" s="30" t="n">
        <v>3116</v>
      </c>
      <c r="E11" s="30" t="n">
        <v>3114</v>
      </c>
      <c r="F11" s="30" t="n">
        <v>3430</v>
      </c>
      <c r="G11" s="30" t="n">
        <v>3798</v>
      </c>
      <c r="H11" s="30" t="n">
        <v>5650</v>
      </c>
    </row>
    <row r="12" customFormat="false" ht="15" hidden="false" customHeight="false" outlineLevel="0" collapsed="false">
      <c r="B12" s="5" t="s">
        <v>140</v>
      </c>
      <c r="C12" s="30" t="n">
        <v>894</v>
      </c>
      <c r="D12" s="30" t="n">
        <v>1066</v>
      </c>
      <c r="E12" s="30" t="n">
        <v>920</v>
      </c>
      <c r="F12" s="30" t="n">
        <v>1129</v>
      </c>
      <c r="G12" s="30" t="n">
        <v>1205</v>
      </c>
      <c r="H12" s="30" t="n">
        <v>1947</v>
      </c>
    </row>
    <row r="13" customFormat="false" ht="15" hidden="false" customHeight="false" outlineLevel="0" collapsed="false">
      <c r="B13" s="5" t="s">
        <v>141</v>
      </c>
      <c r="C13" s="26" t="n">
        <f aca="false">C9-C11-C12-C14</f>
        <v>583</v>
      </c>
      <c r="D13" s="26" t="n">
        <f aca="false">D9-D11-D12-D14</f>
        <v>14</v>
      </c>
      <c r="E13" s="26" t="n">
        <f aca="false">E9-E11-E12-E14</f>
        <v>295</v>
      </c>
      <c r="F13" s="26" t="n">
        <f aca="false">F9-F11-F12-F14</f>
        <v>-250</v>
      </c>
      <c r="G13" s="26" t="n">
        <f aca="false">G9-G11-G12-G14</f>
        <v>100</v>
      </c>
      <c r="H13" s="26" t="n">
        <f aca="false">H9-H11-H12-H14</f>
        <v>567</v>
      </c>
    </row>
    <row r="14" customFormat="false" ht="15" hidden="false" customHeight="false" outlineLevel="0" collapsed="false">
      <c r="B14" s="2" t="s">
        <v>113</v>
      </c>
      <c r="C14" s="30" t="n">
        <v>6283</v>
      </c>
      <c r="D14" s="30" t="n">
        <v>9702</v>
      </c>
      <c r="E14" s="30" t="n">
        <v>-5745</v>
      </c>
      <c r="F14" s="30" t="n">
        <v>1304</v>
      </c>
      <c r="G14" s="30" t="n">
        <v>9770</v>
      </c>
      <c r="H14" s="30" t="n">
        <v>99340</v>
      </c>
    </row>
    <row r="15" customFormat="false" ht="15" hidden="false" customHeight="false" outlineLevel="0" collapsed="false">
      <c r="B15" s="5" t="s">
        <v>142</v>
      </c>
      <c r="C15" s="28" t="n">
        <f aca="false">C14/C7</f>
        <v>0.226782169283523</v>
      </c>
      <c r="D15" s="28" t="n">
        <f aca="false">D14/D7</f>
        <v>0.315430131998179</v>
      </c>
      <c r="E15" s="28" t="n">
        <f aca="false">E14/E7</f>
        <v>-0.36969111969112</v>
      </c>
      <c r="F15" s="28" t="n">
        <f aca="false">F14/F7</f>
        <v>0.0519294333160766</v>
      </c>
      <c r="G15" s="28" t="n">
        <f aca="false">G14/G7</f>
        <v>0.261383701642678</v>
      </c>
      <c r="H15" s="28" t="n">
        <f aca="false">H14/H7</f>
        <v>0.745862990659819</v>
      </c>
    </row>
    <row r="16" customFormat="false" ht="15" hidden="false" customHeight="false" outlineLevel="0" collapsed="false">
      <c r="B16" s="5" t="s">
        <v>143</v>
      </c>
      <c r="C16" s="30" t="n">
        <v>6218</v>
      </c>
      <c r="D16" s="30" t="n">
        <v>9571</v>
      </c>
      <c r="E16" s="30" t="n">
        <v>-5658</v>
      </c>
      <c r="F16" s="30" t="n">
        <v>1240</v>
      </c>
      <c r="G16" s="30" t="n">
        <v>9654</v>
      </c>
      <c r="H16" s="30" t="n">
        <v>99671</v>
      </c>
    </row>
    <row r="17" customFormat="false" ht="15" hidden="false" customHeight="false" outlineLevel="0" collapsed="false">
      <c r="B17" s="5" t="s">
        <v>144</v>
      </c>
      <c r="C17" s="30" t="n">
        <v>394</v>
      </c>
      <c r="D17" s="30" t="n">
        <v>888</v>
      </c>
      <c r="E17" s="30" t="n">
        <v>177</v>
      </c>
      <c r="F17" s="30" t="n">
        <v>451</v>
      </c>
      <c r="G17" s="30" t="n">
        <v>1124</v>
      </c>
      <c r="H17" s="30" t="n">
        <v>14761</v>
      </c>
    </row>
    <row r="18" customFormat="false" ht="15" hidden="false" customHeight="false" outlineLevel="0" collapsed="false">
      <c r="B18" s="5" t="s">
        <v>145</v>
      </c>
      <c r="C18" s="28" t="n">
        <f aca="false">C17/C16</f>
        <v>0.0633644258604053</v>
      </c>
      <c r="D18" s="28" t="n">
        <f aca="false">D17/D16</f>
        <v>0.0927802737436005</v>
      </c>
      <c r="E18" s="28" t="n">
        <f aca="false">E17/E16</f>
        <v>-0.0312831389183457</v>
      </c>
      <c r="F18" s="28" t="n">
        <f aca="false">F17/F16</f>
        <v>0.363709677419355</v>
      </c>
      <c r="G18" s="28" t="n">
        <f aca="false">G17/G16</f>
        <v>0.116428423451419</v>
      </c>
      <c r="H18" s="28" t="n">
        <f aca="false">H17/H16</f>
        <v>0.148097239919335</v>
      </c>
    </row>
    <row r="19" customFormat="false" ht="15" hidden="false" customHeight="false" outlineLevel="0" collapsed="false">
      <c r="B19" s="2" t="s">
        <v>146</v>
      </c>
      <c r="C19" s="30" t="n">
        <v>5861</v>
      </c>
      <c r="D19" s="30" t="n">
        <v>8687</v>
      </c>
      <c r="E19" s="30" t="n">
        <v>-5833</v>
      </c>
      <c r="F19" s="30" t="n">
        <v>778</v>
      </c>
      <c r="G19" s="30" t="n">
        <v>8539</v>
      </c>
      <c r="H19" s="30" t="n">
        <v>84969</v>
      </c>
    </row>
    <row r="20" customFormat="false" ht="15" hidden="false" customHeight="false" outlineLevel="0" collapsed="false">
      <c r="B20" s="5" t="s">
        <v>147</v>
      </c>
      <c r="C20" s="35" t="n">
        <v>5.14</v>
      </c>
      <c r="D20" s="35" t="n">
        <v>7.75</v>
      </c>
      <c r="E20" s="35" t="n">
        <v>-5.34</v>
      </c>
      <c r="F20" s="35" t="n">
        <v>0.7</v>
      </c>
      <c r="G20" s="35" t="n">
        <v>7.59</v>
      </c>
      <c r="H20" s="35" t="n">
        <v>74.33</v>
      </c>
    </row>
    <row r="21" customFormat="false" ht="15" hidden="false" customHeight="false" outlineLevel="0" collapsed="false">
      <c r="B21" s="5" t="s">
        <v>26</v>
      </c>
      <c r="C21" s="36" t="n">
        <v>1141</v>
      </c>
      <c r="D21" s="36" t="n">
        <v>1122</v>
      </c>
      <c r="E21" s="36" t="n">
        <v>1093</v>
      </c>
      <c r="F21" s="36" t="n">
        <v>1118</v>
      </c>
      <c r="G21" s="36" t="n">
        <v>1125</v>
      </c>
      <c r="H21" s="36" t="n">
        <v>1143</v>
      </c>
    </row>
    <row r="23" customFormat="false" ht="15" hidden="false" customHeight="false" outlineLevel="0" collapsed="false">
      <c r="B23" s="5" t="s">
        <v>148</v>
      </c>
      <c r="C23" s="30" t="n">
        <v>6214</v>
      </c>
      <c r="D23" s="30" t="n">
        <v>7116</v>
      </c>
      <c r="E23" s="30" t="n">
        <v>7756</v>
      </c>
      <c r="F23" s="30" t="n">
        <v>7780</v>
      </c>
      <c r="G23" s="30" t="n">
        <v>8352</v>
      </c>
      <c r="H23" s="30" t="n">
        <v>9503</v>
      </c>
    </row>
    <row r="24" customFormat="false" ht="15" hidden="false" customHeight="false" outlineLevel="0" collapsed="false">
      <c r="B24" s="5" t="s">
        <v>149</v>
      </c>
      <c r="C24" s="30" t="n">
        <v>378</v>
      </c>
      <c r="D24" s="30" t="n">
        <v>514</v>
      </c>
      <c r="E24" s="30" t="n">
        <v>596</v>
      </c>
      <c r="F24" s="30" t="n">
        <v>833</v>
      </c>
      <c r="G24" s="30" t="n">
        <v>972</v>
      </c>
      <c r="H24" s="30" t="n">
        <v>1333</v>
      </c>
    </row>
    <row r="25" customFormat="false" ht="15" hidden="false" customHeight="false" outlineLevel="0" collapsed="false">
      <c r="B25" s="5" t="s">
        <v>150</v>
      </c>
      <c r="C25" s="30" t="n">
        <v>12468</v>
      </c>
      <c r="D25" s="30" t="n">
        <v>15181</v>
      </c>
      <c r="E25" s="30" t="n">
        <v>1559</v>
      </c>
      <c r="F25" s="30" t="n">
        <v>8507</v>
      </c>
      <c r="G25" s="30" t="n">
        <v>17525</v>
      </c>
      <c r="H25" s="30" t="n">
        <v>89675</v>
      </c>
    </row>
    <row r="26" customFormat="false" ht="15" hidden="false" customHeight="false" outlineLevel="0" collapsed="false">
      <c r="B26" s="5" t="s">
        <v>151</v>
      </c>
      <c r="C26" s="30" t="n">
        <v>10030</v>
      </c>
      <c r="D26" s="30" t="n">
        <v>12067</v>
      </c>
      <c r="E26" s="30" t="n">
        <v>7676</v>
      </c>
      <c r="F26" s="30" t="n">
        <v>8386</v>
      </c>
      <c r="G26" s="30" t="n">
        <v>15857</v>
      </c>
      <c r="H26" s="30" t="n">
        <v>30712</v>
      </c>
    </row>
    <row r="27" customFormat="false" ht="15" hidden="false" customHeight="false" outlineLevel="0" collapsed="false">
      <c r="B27" s="5" t="s">
        <v>152</v>
      </c>
      <c r="G27" s="30" t="n">
        <v>2005</v>
      </c>
      <c r="H27" s="30" t="n">
        <v>3316</v>
      </c>
      <c r="L27" s="7" t="s">
        <v>153</v>
      </c>
    </row>
    <row r="28" customFormat="false" ht="15" hidden="false" customHeight="false" outlineLevel="0" collapsed="false">
      <c r="B28" s="5" t="s">
        <v>154</v>
      </c>
      <c r="C28" s="26" t="n">
        <f aca="false">C26-N(C27)</f>
        <v>10030</v>
      </c>
      <c r="D28" s="26" t="n">
        <f aca="false">D26-N(D27)</f>
        <v>12067</v>
      </c>
      <c r="E28" s="26" t="n">
        <f aca="false">E26-N(E27)</f>
        <v>7676</v>
      </c>
      <c r="F28" s="26" t="n">
        <f aca="false">F26-N(F27)</f>
        <v>8386</v>
      </c>
      <c r="G28" s="26" t="n">
        <f aca="false">G26-N(G27)</f>
        <v>13852</v>
      </c>
      <c r="H28" s="26" t="n">
        <f aca="false">H26-N(H27)</f>
        <v>27396</v>
      </c>
    </row>
    <row r="29" customFormat="false" ht="15" hidden="false" customHeight="false" outlineLevel="0" collapsed="false">
      <c r="B29" s="2" t="s">
        <v>155</v>
      </c>
      <c r="C29" s="34" t="n">
        <f aca="false">C25-C28</f>
        <v>2438</v>
      </c>
      <c r="D29" s="34" t="n">
        <f aca="false">D25-D28</f>
        <v>3114</v>
      </c>
      <c r="E29" s="34" t="n">
        <f aca="false">E25-E28</f>
        <v>-6117</v>
      </c>
      <c r="F29" s="34" t="n">
        <f aca="false">F25-F28</f>
        <v>121</v>
      </c>
      <c r="G29" s="34" t="n">
        <f aca="false">G25-G28</f>
        <v>3673</v>
      </c>
      <c r="H29" s="34" t="n">
        <f aca="false">H25-H28</f>
        <v>62279</v>
      </c>
      <c r="L29" s="7" t="s">
        <v>156</v>
      </c>
    </row>
    <row r="30" customFormat="false" ht="15" hidden="false" customHeight="false" outlineLevel="0" collapsed="false">
      <c r="B30" s="5" t="s">
        <v>157</v>
      </c>
      <c r="C30" s="28" t="n">
        <f aca="false">C28/C7</f>
        <v>0.362028514708536</v>
      </c>
      <c r="D30" s="28" t="n">
        <f aca="false">D28/D7</f>
        <v>0.392320697054425</v>
      </c>
      <c r="E30" s="28" t="n">
        <f aca="false">E28/E7</f>
        <v>0.493951093951094</v>
      </c>
      <c r="F30" s="28" t="n">
        <f aca="false">F28/F7</f>
        <v>0.333957229899247</v>
      </c>
      <c r="G30" s="28" t="n">
        <f aca="false">G28/G7</f>
        <v>0.370592327037295</v>
      </c>
      <c r="H30" s="28" t="n">
        <f aca="false">H28/H7</f>
        <v>0.205694206685287</v>
      </c>
    </row>
    <row r="31" customFormat="false" ht="15" hidden="false" customHeight="false" outlineLevel="0" collapsed="false">
      <c r="B31" s="5" t="s">
        <v>77</v>
      </c>
      <c r="H31" s="28" t="n">
        <f aca="false">H23/G46</f>
        <v>0.203970809186521</v>
      </c>
    </row>
    <row r="32" customFormat="false" ht="15" hidden="false" customHeight="false" outlineLevel="0" collapsed="false">
      <c r="B32" s="5" t="s">
        <v>158</v>
      </c>
      <c r="G32" s="37" t="n">
        <f aca="false">AVERAGE(C15:G15)</f>
        <v>0.0971668633098673</v>
      </c>
      <c r="L32" s="7" t="s">
        <v>159</v>
      </c>
    </row>
    <row r="34" customFormat="false" ht="15" hidden="false" customHeight="false" outlineLevel="0" collapsed="false">
      <c r="B34" s="8" t="s">
        <v>160</v>
      </c>
      <c r="C34" s="9"/>
      <c r="D34" s="9"/>
      <c r="E34" s="9"/>
      <c r="F34" s="9"/>
      <c r="G34" s="9"/>
      <c r="H34" s="9"/>
      <c r="I34" s="9"/>
      <c r="J34" s="9"/>
    </row>
    <row r="35" customFormat="false" ht="15" hidden="false" customHeight="false" outlineLevel="0" collapsed="false">
      <c r="G35" s="17" t="s">
        <v>161</v>
      </c>
      <c r="H35" s="17" t="s">
        <v>162</v>
      </c>
    </row>
    <row r="36" customFormat="false" ht="15" hidden="false" customHeight="false" outlineLevel="0" collapsed="false">
      <c r="B36" s="5" t="s">
        <v>163</v>
      </c>
      <c r="G36" s="30" t="n">
        <v>9642</v>
      </c>
      <c r="H36" s="30" t="n">
        <v>38364</v>
      </c>
    </row>
    <row r="37" customFormat="false" ht="15" hidden="false" customHeight="false" outlineLevel="0" collapsed="false">
      <c r="B37" s="5" t="s">
        <v>164</v>
      </c>
      <c r="G37" s="30" t="n">
        <v>665</v>
      </c>
      <c r="H37" s="30" t="n">
        <v>5070</v>
      </c>
    </row>
    <row r="38" customFormat="false" ht="15" hidden="false" customHeight="false" outlineLevel="0" collapsed="false">
      <c r="B38" s="2" t="s">
        <v>165</v>
      </c>
      <c r="G38" s="34" t="n">
        <f aca="false">G36+G37+G39</f>
        <v>11936</v>
      </c>
      <c r="H38" s="34" t="n">
        <f aca="false">H36+H37+H39</f>
        <v>73453</v>
      </c>
      <c r="L38" s="7" t="s">
        <v>166</v>
      </c>
    </row>
    <row r="39" customFormat="false" ht="15" hidden="false" customHeight="false" outlineLevel="0" collapsed="false">
      <c r="B39" s="5" t="s">
        <v>167</v>
      </c>
      <c r="G39" s="30" t="n">
        <v>1629</v>
      </c>
      <c r="H39" s="30" t="n">
        <v>30019</v>
      </c>
    </row>
    <row r="40" customFormat="false" ht="15" hidden="false" customHeight="false" outlineLevel="0" collapsed="false">
      <c r="B40" s="5" t="s">
        <v>168</v>
      </c>
      <c r="G40" s="30" t="n">
        <v>9265</v>
      </c>
      <c r="H40" s="30" t="n">
        <v>36197</v>
      </c>
    </row>
    <row r="41" customFormat="false" ht="15" hidden="false" customHeight="false" outlineLevel="0" collapsed="false">
      <c r="B41" s="5" t="s">
        <v>169</v>
      </c>
      <c r="G41" s="30" t="n">
        <v>8355</v>
      </c>
      <c r="H41" s="30" t="n">
        <v>10372</v>
      </c>
    </row>
    <row r="42" customFormat="false" ht="15" hidden="false" customHeight="false" outlineLevel="0" collapsed="false">
      <c r="B42" s="5" t="s">
        <v>170</v>
      </c>
      <c r="G42" s="30" t="n">
        <v>914</v>
      </c>
      <c r="H42" s="30" t="n">
        <v>1067</v>
      </c>
    </row>
    <row r="43" customFormat="false" ht="15" hidden="false" customHeight="false" outlineLevel="0" collapsed="false">
      <c r="B43" s="5" t="s">
        <v>171</v>
      </c>
      <c r="G43" s="30" t="n">
        <v>9649</v>
      </c>
      <c r="H43" s="30" t="n">
        <v>22605</v>
      </c>
    </row>
    <row r="44" customFormat="false" ht="15" hidden="false" customHeight="false" outlineLevel="0" collapsed="false">
      <c r="B44" s="5" t="s">
        <v>172</v>
      </c>
      <c r="G44" s="30" t="n">
        <v>1245</v>
      </c>
      <c r="H44" s="30" t="n">
        <v>4386</v>
      </c>
    </row>
    <row r="45" customFormat="false" ht="15" hidden="false" customHeight="false" outlineLevel="0" collapsed="false">
      <c r="B45" s="2" t="s">
        <v>173</v>
      </c>
      <c r="G45" s="34" t="n">
        <f aca="false">G40+G41+G42-G43-G44</f>
        <v>7640</v>
      </c>
      <c r="H45" s="34" t="n">
        <f aca="false">H40+H41+H42-H43-H44</f>
        <v>20645</v>
      </c>
    </row>
    <row r="46" customFormat="false" ht="15" hidden="false" customHeight="false" outlineLevel="0" collapsed="false">
      <c r="B46" s="5" t="s">
        <v>174</v>
      </c>
      <c r="G46" s="30" t="n">
        <v>46590</v>
      </c>
      <c r="H46" s="30" t="n">
        <v>63310</v>
      </c>
    </row>
    <row r="47" customFormat="false" ht="15" hidden="false" customHeight="false" outlineLevel="0" collapsed="false">
      <c r="B47" s="5" t="s">
        <v>175</v>
      </c>
      <c r="G47" s="30" t="n">
        <v>560</v>
      </c>
      <c r="H47" s="30" t="n">
        <v>491</v>
      </c>
    </row>
    <row r="48" customFormat="false" ht="15" hidden="false" customHeight="false" outlineLevel="0" collapsed="false">
      <c r="B48" s="5" t="s">
        <v>176</v>
      </c>
      <c r="G48" s="30" t="n">
        <v>14017</v>
      </c>
      <c r="H48" s="30" t="n">
        <v>4688</v>
      </c>
    </row>
    <row r="49" customFormat="false" ht="15" hidden="false" customHeight="false" outlineLevel="0" collapsed="false">
      <c r="B49" s="2" t="s">
        <v>30</v>
      </c>
      <c r="G49" s="34" t="n">
        <f aca="false">G47+G48</f>
        <v>14577</v>
      </c>
      <c r="H49" s="34" t="n">
        <f aca="false">H47+H48</f>
        <v>5179</v>
      </c>
    </row>
    <row r="50" customFormat="false" ht="15" hidden="false" customHeight="false" outlineLevel="0" collapsed="false">
      <c r="B50" s="5" t="s">
        <v>177</v>
      </c>
      <c r="G50" s="30" t="n">
        <v>142</v>
      </c>
      <c r="H50" s="30" t="n">
        <v>12895</v>
      </c>
      <c r="L50" s="7" t="s">
        <v>178</v>
      </c>
    </row>
    <row r="51" customFormat="false" ht="15" hidden="false" customHeight="false" outlineLevel="0" collapsed="false">
      <c r="B51" s="5" t="s">
        <v>179</v>
      </c>
      <c r="G51" s="30" t="n">
        <v>54165</v>
      </c>
      <c r="H51" s="30" t="n">
        <v>138378</v>
      </c>
    </row>
    <row r="52" customFormat="false" ht="15" hidden="false" customHeight="false" outlineLevel="0" collapsed="false">
      <c r="B52" s="5" t="s">
        <v>180</v>
      </c>
      <c r="G52" s="28" t="n">
        <f aca="false">G45/G7</f>
        <v>0.204398309165819</v>
      </c>
      <c r="H52" s="28" t="n">
        <f aca="false">H45/H7</f>
        <v>0.155006457038172</v>
      </c>
    </row>
    <row r="53" customFormat="false" ht="15" hidden="false" customHeight="false" outlineLevel="0" collapsed="false">
      <c r="B53" s="2" t="s">
        <v>181</v>
      </c>
      <c r="G53" s="34" t="n">
        <f aca="false">G38-G49</f>
        <v>-2641</v>
      </c>
      <c r="H53" s="34" t="n">
        <f aca="false">H38-H49</f>
        <v>68274</v>
      </c>
    </row>
    <row r="55" customFormat="false" ht="15" hidden="false" customHeight="false" outlineLevel="0" collapsed="false">
      <c r="B55" s="8" t="s">
        <v>182</v>
      </c>
      <c r="C55" s="9"/>
      <c r="D55" s="9"/>
      <c r="E55" s="9"/>
      <c r="F55" s="9"/>
      <c r="G55" s="9"/>
      <c r="H55" s="9"/>
      <c r="I55" s="9"/>
      <c r="J55" s="9"/>
    </row>
    <row r="56" customFormat="false" ht="15" hidden="false" customHeight="false" outlineLevel="0" collapsed="false">
      <c r="C56" s="17" t="s">
        <v>183</v>
      </c>
      <c r="D56" s="17" t="s">
        <v>184</v>
      </c>
      <c r="E56" s="17" t="s">
        <v>185</v>
      </c>
      <c r="F56" s="17" t="s">
        <v>186</v>
      </c>
      <c r="G56" s="17" t="s">
        <v>187</v>
      </c>
      <c r="H56" s="17" t="s">
        <v>188</v>
      </c>
      <c r="I56" s="17" t="s">
        <v>189</v>
      </c>
      <c r="J56" s="17" t="s">
        <v>190</v>
      </c>
    </row>
    <row r="57" customFormat="false" ht="15" hidden="false" customHeight="false" outlineLevel="0" collapsed="false">
      <c r="B57" s="5" t="s">
        <v>191</v>
      </c>
      <c r="C57" s="30" t="n">
        <v>2648</v>
      </c>
      <c r="D57" s="30" t="n">
        <v>2947</v>
      </c>
      <c r="E57" s="30" t="n">
        <v>3386</v>
      </c>
      <c r="F57" s="30" t="n">
        <v>4543</v>
      </c>
      <c r="G57" s="30" t="n">
        <v>5284</v>
      </c>
      <c r="H57" s="30" t="n">
        <v>7749</v>
      </c>
      <c r="I57" s="30" t="n">
        <v>13769</v>
      </c>
      <c r="J57" s="30" t="n">
        <v>16283</v>
      </c>
      <c r="L57" s="7" t="s">
        <v>192</v>
      </c>
    </row>
    <row r="58" customFormat="false" ht="15" hidden="false" customHeight="false" outlineLevel="0" collapsed="false">
      <c r="B58" s="5" t="s">
        <v>193</v>
      </c>
      <c r="C58" s="38" t="n">
        <v>0.4</v>
      </c>
      <c r="D58" s="38" t="n">
        <v>0.45</v>
      </c>
      <c r="E58" s="38" t="n">
        <v>0.46</v>
      </c>
      <c r="F58" s="38" t="n">
        <v>0.48</v>
      </c>
      <c r="G58" s="38" t="n">
        <v>0.55</v>
      </c>
      <c r="H58" s="38" t="n">
        <v>0.66</v>
      </c>
      <c r="I58" s="38" t="n">
        <v>0.78</v>
      </c>
      <c r="J58" s="38" t="n">
        <v>0.76</v>
      </c>
    </row>
    <row r="59" customFormat="false" ht="15" hidden="false" customHeight="false" outlineLevel="0" collapsed="false">
      <c r="B59" s="5" t="s">
        <v>194</v>
      </c>
      <c r="C59" s="26" t="n">
        <f aca="false">C57*C58</f>
        <v>1059.2</v>
      </c>
      <c r="D59" s="26" t="n">
        <f aca="false">D57*D58</f>
        <v>1326.15</v>
      </c>
      <c r="E59" s="26" t="n">
        <f aca="false">E57*E58</f>
        <v>1557.56</v>
      </c>
      <c r="F59" s="26" t="n">
        <f aca="false">F57*F58</f>
        <v>2180.64</v>
      </c>
      <c r="G59" s="26" t="n">
        <f aca="false">G57*G58</f>
        <v>2906.2</v>
      </c>
      <c r="H59" s="26" t="n">
        <f aca="false">H57*H58</f>
        <v>5114.34</v>
      </c>
      <c r="I59" s="26" t="n">
        <f aca="false">I57*I58</f>
        <v>10739.82</v>
      </c>
      <c r="J59" s="26" t="n">
        <f aca="false">J57*J58</f>
        <v>12375.08</v>
      </c>
    </row>
    <row r="60" customFormat="false" ht="15" hidden="false" customHeight="false" outlineLevel="0" collapsed="false">
      <c r="B60" s="5" t="s">
        <v>195</v>
      </c>
      <c r="C60" s="30" t="n">
        <v>2292</v>
      </c>
      <c r="D60" s="30" t="n">
        <v>1830</v>
      </c>
      <c r="E60" s="30" t="n">
        <v>1530</v>
      </c>
      <c r="F60" s="30" t="n">
        <v>1577</v>
      </c>
      <c r="G60" s="30" t="n">
        <v>2379</v>
      </c>
      <c r="H60" s="30" t="n">
        <v>5687</v>
      </c>
      <c r="I60" s="30" t="n">
        <v>11524</v>
      </c>
      <c r="J60" s="30" t="n">
        <v>18002</v>
      </c>
    </row>
    <row r="61" customFormat="false" ht="15" hidden="false" customHeight="false" outlineLevel="0" collapsed="false">
      <c r="B61" s="5" t="s">
        <v>193</v>
      </c>
      <c r="C61" s="38" t="n">
        <v>0.38</v>
      </c>
      <c r="D61" s="38" t="n">
        <v>0.33</v>
      </c>
      <c r="E61" s="38" t="n">
        <v>0.2</v>
      </c>
      <c r="F61" s="38" t="n">
        <v>0.25</v>
      </c>
      <c r="G61" s="38" t="n">
        <v>0.37</v>
      </c>
      <c r="H61" s="38" t="n">
        <v>0.67</v>
      </c>
      <c r="I61" s="38" t="n">
        <v>0.83</v>
      </c>
      <c r="J61" s="38" t="n">
        <v>0.85</v>
      </c>
    </row>
    <row r="62" customFormat="false" ht="15" hidden="false" customHeight="false" outlineLevel="0" collapsed="false">
      <c r="B62" s="5" t="s">
        <v>194</v>
      </c>
      <c r="C62" s="26" t="n">
        <f aca="false">C60*C61</f>
        <v>870.96</v>
      </c>
      <c r="D62" s="26" t="n">
        <f aca="false">D60*D61</f>
        <v>603.9</v>
      </c>
      <c r="E62" s="26" t="n">
        <f aca="false">E60*E61</f>
        <v>306</v>
      </c>
      <c r="F62" s="26" t="n">
        <f aca="false">F60*F61</f>
        <v>394.25</v>
      </c>
      <c r="G62" s="26" t="n">
        <f aca="false">G60*G61</f>
        <v>880.23</v>
      </c>
      <c r="H62" s="26" t="n">
        <f aca="false">H60*H61</f>
        <v>3810.29</v>
      </c>
      <c r="I62" s="26" t="n">
        <f aca="false">I60*I61</f>
        <v>9564.92</v>
      </c>
      <c r="J62" s="26" t="n">
        <f aca="false">J60*J61</f>
        <v>15301.7</v>
      </c>
    </row>
    <row r="63" customFormat="false" ht="15" hidden="false" customHeight="false" outlineLevel="0" collapsed="false">
      <c r="B63" s="5" t="s">
        <v>196</v>
      </c>
      <c r="C63" s="30" t="n">
        <v>2608</v>
      </c>
      <c r="D63" s="30" t="n">
        <v>2236</v>
      </c>
      <c r="E63" s="30" t="n">
        <v>3255</v>
      </c>
      <c r="F63" s="30" t="n">
        <v>3760</v>
      </c>
      <c r="G63" s="30" t="n">
        <v>4255</v>
      </c>
      <c r="H63" s="30" t="n">
        <v>7711</v>
      </c>
      <c r="I63" s="30" t="n">
        <v>11521</v>
      </c>
      <c r="J63" s="30" t="n">
        <v>13114</v>
      </c>
    </row>
    <row r="64" customFormat="false" ht="15" hidden="false" customHeight="false" outlineLevel="0" collapsed="false">
      <c r="B64" s="5" t="s">
        <v>193</v>
      </c>
      <c r="C64" s="38" t="n">
        <v>0.15</v>
      </c>
      <c r="D64" s="38" t="n">
        <v>0.01</v>
      </c>
      <c r="E64" s="38" t="n">
        <v>0.15</v>
      </c>
      <c r="F64" s="38" t="n">
        <v>0.29</v>
      </c>
      <c r="G64" s="38" t="n">
        <v>0.47</v>
      </c>
      <c r="H64" s="38" t="n">
        <v>0.76</v>
      </c>
      <c r="I64" s="38" t="n">
        <v>0.86</v>
      </c>
      <c r="J64" s="38" t="n">
        <v>0.88</v>
      </c>
    </row>
    <row r="65" customFormat="false" ht="15" hidden="false" customHeight="false" outlineLevel="0" collapsed="false">
      <c r="B65" s="5" t="s">
        <v>194</v>
      </c>
      <c r="C65" s="26" t="n">
        <f aca="false">C63*C64</f>
        <v>391.2</v>
      </c>
      <c r="D65" s="26" t="n">
        <f aca="false">D63*D64</f>
        <v>22.36</v>
      </c>
      <c r="E65" s="26" t="n">
        <f aca="false">E63*E64</f>
        <v>488.25</v>
      </c>
      <c r="F65" s="26" t="n">
        <f aca="false">F63*F64</f>
        <v>1090.4</v>
      </c>
      <c r="G65" s="26" t="n">
        <f aca="false">G63*G64</f>
        <v>1999.85</v>
      </c>
      <c r="H65" s="26" t="n">
        <f aca="false">H63*H64</f>
        <v>5860.36</v>
      </c>
      <c r="I65" s="26" t="n">
        <f aca="false">I63*I64</f>
        <v>9908.06</v>
      </c>
      <c r="J65" s="26" t="n">
        <f aca="false">J63*J64</f>
        <v>11540.32</v>
      </c>
    </row>
    <row r="66" customFormat="false" ht="15" hidden="false" customHeight="false" outlineLevel="0" collapsed="false">
      <c r="B66" s="5" t="s">
        <v>197</v>
      </c>
      <c r="C66" s="30" t="n">
        <v>1158</v>
      </c>
      <c r="D66" s="30" t="n">
        <v>1034</v>
      </c>
      <c r="E66" s="30" t="n">
        <v>1127</v>
      </c>
      <c r="F66" s="30" t="n">
        <v>1434</v>
      </c>
      <c r="G66" s="30" t="n">
        <v>1720</v>
      </c>
      <c r="H66" s="30" t="n">
        <v>2708</v>
      </c>
      <c r="I66" s="30" t="n">
        <v>4634</v>
      </c>
      <c r="J66" s="30" t="n">
        <v>6824</v>
      </c>
    </row>
    <row r="67" customFormat="false" ht="15" hidden="false" customHeight="false" outlineLevel="0" collapsed="false">
      <c r="B67" s="5" t="s">
        <v>193</v>
      </c>
      <c r="C67" s="38" t="n">
        <v>0.07</v>
      </c>
      <c r="D67" s="38" t="n">
        <v>0.06</v>
      </c>
      <c r="E67" s="38" t="n">
        <v>0.11</v>
      </c>
      <c r="F67" s="38" t="n">
        <v>0.2</v>
      </c>
      <c r="G67" s="38" t="n">
        <v>0.36</v>
      </c>
      <c r="H67" s="38" t="n">
        <v>0.62</v>
      </c>
      <c r="I67" s="38" t="n">
        <v>0.75</v>
      </c>
      <c r="J67" s="38" t="n">
        <v>0.79</v>
      </c>
    </row>
    <row r="68" customFormat="false" ht="15" hidden="false" customHeight="false" outlineLevel="0" collapsed="false">
      <c r="B68" s="5" t="s">
        <v>194</v>
      </c>
      <c r="C68" s="26" t="n">
        <f aca="false">C66*C67</f>
        <v>81.06</v>
      </c>
      <c r="D68" s="26" t="n">
        <f aca="false">D66*D67</f>
        <v>62.04</v>
      </c>
      <c r="E68" s="26" t="n">
        <f aca="false">E66*E67</f>
        <v>123.97</v>
      </c>
      <c r="F68" s="26" t="n">
        <f aca="false">F66*F67</f>
        <v>286.8</v>
      </c>
      <c r="G68" s="26" t="n">
        <f aca="false">G66*G67</f>
        <v>619.2</v>
      </c>
      <c r="H68" s="26" t="n">
        <f aca="false">H66*H67</f>
        <v>1678.96</v>
      </c>
      <c r="I68" s="26" t="n">
        <f aca="false">I66*I67</f>
        <v>3475.5</v>
      </c>
      <c r="J68" s="26" t="n">
        <f aca="false">J66*J67</f>
        <v>5390.96</v>
      </c>
    </row>
    <row r="69" customFormat="false" ht="15" hidden="false" customHeight="false" outlineLevel="0" collapsed="false">
      <c r="B69" s="2" t="s">
        <v>198</v>
      </c>
      <c r="C69" s="30" t="n">
        <v>8709</v>
      </c>
      <c r="D69" s="30" t="n">
        <v>8053</v>
      </c>
      <c r="E69" s="30" t="n">
        <v>9301</v>
      </c>
      <c r="F69" s="30" t="n">
        <v>11315</v>
      </c>
      <c r="G69" s="30" t="n">
        <v>13643</v>
      </c>
      <c r="H69" s="30" t="n">
        <v>23860</v>
      </c>
      <c r="I69" s="30" t="n">
        <v>41456</v>
      </c>
      <c r="J69" s="30" t="n">
        <v>54229</v>
      </c>
    </row>
    <row r="70" customFormat="false" ht="15" hidden="false" customHeight="false" outlineLevel="0" collapsed="false">
      <c r="B70" s="2" t="s">
        <v>199</v>
      </c>
      <c r="C70" s="30" t="n">
        <v>2174</v>
      </c>
      <c r="D70" s="30" t="n">
        <v>1773</v>
      </c>
      <c r="E70" s="30" t="n">
        <v>2169</v>
      </c>
      <c r="F70" s="30" t="n">
        <v>3654</v>
      </c>
      <c r="G70" s="30" t="n">
        <v>6136</v>
      </c>
      <c r="H70" s="30" t="n">
        <v>16135</v>
      </c>
      <c r="I70" s="30" t="n">
        <v>33318</v>
      </c>
      <c r="J70" s="30" t="n">
        <v>43751</v>
      </c>
      <c r="L70" s="7" t="s">
        <v>200</v>
      </c>
    </row>
    <row r="71" customFormat="false" ht="15" hidden="false" customHeight="false" outlineLevel="0" collapsed="false">
      <c r="B71" s="5" t="s">
        <v>201</v>
      </c>
      <c r="C71" s="26" t="n">
        <f aca="false">C70-C59-C62-C65-C68</f>
        <v>-228.42</v>
      </c>
      <c r="D71" s="26" t="n">
        <f aca="false">D70-D59-D62-D65-D68</f>
        <v>-241.45</v>
      </c>
      <c r="E71" s="26" t="n">
        <f aca="false">E70-E59-E62-E65-E68</f>
        <v>-306.78</v>
      </c>
      <c r="F71" s="26" t="n">
        <f aca="false">F70-F59-F62-F65-F68</f>
        <v>-298.09</v>
      </c>
      <c r="G71" s="26" t="n">
        <f aca="false">G70-G59-G62-G65-G68</f>
        <v>-269.48</v>
      </c>
      <c r="H71" s="26" t="n">
        <f aca="false">H70-H59-H62-H65-H68</f>
        <v>-328.950000000001</v>
      </c>
      <c r="I71" s="26" t="n">
        <f aca="false">I70-I59-I62-I65-I68</f>
        <v>-370.299999999999</v>
      </c>
      <c r="J71" s="26" t="n">
        <f aca="false">J70-J59-J62-J65-J68</f>
        <v>-857.06</v>
      </c>
    </row>
    <row r="72" customFormat="false" ht="15" hidden="false" customHeight="false" outlineLevel="0" collapsed="false">
      <c r="B72" s="5" t="s">
        <v>202</v>
      </c>
      <c r="C72" s="39" t="n">
        <f aca="false">C57+C60+C63+C66-C69</f>
        <v>-3</v>
      </c>
      <c r="D72" s="39" t="n">
        <f aca="false">D57+D60+D63+D66-D69</f>
        <v>-6</v>
      </c>
      <c r="E72" s="39" t="n">
        <f aca="false">E57+E60+E63+E66-E69</f>
        <v>-3</v>
      </c>
      <c r="F72" s="39" t="n">
        <f aca="false">F57+F60+F63+F66-F69</f>
        <v>-1</v>
      </c>
      <c r="G72" s="39" t="n">
        <f aca="false">G57+G60+G63+G66-G69</f>
        <v>-5</v>
      </c>
      <c r="H72" s="39" t="n">
        <f aca="false">H57+H60+H63+H66-H69</f>
        <v>-5</v>
      </c>
      <c r="I72" s="39" t="n">
        <f aca="false">I57+I60+I63+I66-I69</f>
        <v>-8</v>
      </c>
      <c r="J72" s="39" t="n">
        <f aca="false">J57+J60+J63+J66-J69</f>
        <v>-6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9"/>
    <col collapsed="false" customWidth="true" hidden="false" outlineLevel="0" max="4" min="4" style="0" width="22"/>
    <col collapsed="false" customWidth="true" hidden="false" outlineLevel="0" max="6" min="5" style="0" width="10"/>
    <col collapsed="false" customWidth="true" hidden="false" outlineLevel="0" max="7" min="7" style="0" width="11"/>
    <col collapsed="false" customWidth="true" hidden="false" outlineLevel="0" max="9" min="8" style="0" width="2"/>
    <col collapsed="false" customWidth="true" hidden="false" outlineLevel="0" max="10" min="10" style="0" width="11"/>
    <col collapsed="false" customWidth="true" hidden="false" outlineLevel="0" max="11" min="11" style="0" width="2"/>
    <col collapsed="false" customWidth="true" hidden="false" outlineLevel="0" max="12" min="12" style="0" width="60"/>
  </cols>
  <sheetData>
    <row r="2" customFormat="false" ht="15" hidden="false" customHeight="false" outlineLevel="0" collapsed="false">
      <c r="B2" s="1" t="s">
        <v>203</v>
      </c>
    </row>
    <row r="3" customFormat="false" ht="15" hidden="false" customHeight="false" outlineLevel="0" collapsed="false">
      <c r="B3" s="7" t="s">
        <v>17</v>
      </c>
    </row>
    <row r="5" customFormat="false" ht="15" hidden="false" customHeight="false" outlineLevel="0" collapsed="false">
      <c r="B5" s="8" t="s">
        <v>204</v>
      </c>
      <c r="C5" s="9"/>
      <c r="D5" s="9"/>
      <c r="E5" s="9"/>
      <c r="F5" s="9"/>
      <c r="G5" s="9"/>
      <c r="H5" s="9"/>
      <c r="I5" s="9"/>
      <c r="J5" s="9"/>
    </row>
    <row r="6" customFormat="false" ht="15" hidden="false" customHeight="false" outlineLevel="0" collapsed="false">
      <c r="B6" s="17" t="s">
        <v>205</v>
      </c>
      <c r="C6" s="17" t="s">
        <v>21</v>
      </c>
      <c r="D6" s="17" t="s">
        <v>206</v>
      </c>
      <c r="E6" s="17" t="s">
        <v>207</v>
      </c>
      <c r="F6" s="17" t="s">
        <v>208</v>
      </c>
      <c r="G6" s="17" t="s">
        <v>209</v>
      </c>
      <c r="H6" s="17"/>
      <c r="I6" s="17"/>
      <c r="J6" s="17" t="s">
        <v>210</v>
      </c>
    </row>
    <row r="7" customFormat="false" ht="15" hidden="false" customHeight="false" outlineLevel="0" collapsed="false">
      <c r="B7" s="5" t="s">
        <v>211</v>
      </c>
      <c r="C7" s="5" t="s">
        <v>212</v>
      </c>
      <c r="D7" s="5" t="s">
        <v>213</v>
      </c>
      <c r="E7" s="40" t="n">
        <f aca="false">'Comps Valuation'!E7</f>
        <v>6.69</v>
      </c>
      <c r="F7" s="41" t="n">
        <f aca="false">'Comps Valuation'!J7</f>
        <v>5.22</v>
      </c>
      <c r="G7" s="28" t="n">
        <f aca="false">1/E7</f>
        <v>0.149476831091181</v>
      </c>
      <c r="J7" s="28" t="n">
        <f aca="false">G7+Assumptions!$D$59</f>
        <v>0.179476831091181</v>
      </c>
      <c r="L7" s="7" t="s">
        <v>214</v>
      </c>
    </row>
    <row r="8" customFormat="false" ht="15" hidden="false" customHeight="false" outlineLevel="0" collapsed="false">
      <c r="B8" s="5" t="s">
        <v>215</v>
      </c>
      <c r="C8" s="5" t="s">
        <v>216</v>
      </c>
      <c r="D8" s="5" t="s">
        <v>217</v>
      </c>
      <c r="E8" s="40" t="n">
        <f aca="false">'Comps Valuation'!E8</f>
        <v>13.8</v>
      </c>
      <c r="F8" s="41" t="n">
        <f aca="false">'Comps Valuation'!J8</f>
        <v>2.12</v>
      </c>
      <c r="G8" s="28" t="n">
        <f aca="false">1/E8</f>
        <v>0.072463768115942</v>
      </c>
      <c r="J8" s="28" t="n">
        <f aca="false">G8+Assumptions!$D$59</f>
        <v>0.102463768115942</v>
      </c>
      <c r="L8" s="7" t="s">
        <v>218</v>
      </c>
    </row>
    <row r="9" customFormat="false" ht="15" hidden="false" customHeight="false" outlineLevel="0" collapsed="false">
      <c r="B9" s="5" t="s">
        <v>219</v>
      </c>
      <c r="C9" s="5" t="s">
        <v>220</v>
      </c>
      <c r="D9" s="5" t="s">
        <v>217</v>
      </c>
      <c r="E9" s="40" t="n">
        <f aca="false">'Comps Valuation'!E9</f>
        <v>16.24</v>
      </c>
      <c r="F9" s="41" t="n">
        <f aca="false">'Comps Valuation'!J9</f>
        <v>2.08</v>
      </c>
      <c r="G9" s="28" t="n">
        <f aca="false">1/E9</f>
        <v>0.061576354679803</v>
      </c>
      <c r="J9" s="28" t="n">
        <f aca="false">G9+Assumptions!$D$59</f>
        <v>0.091576354679803</v>
      </c>
    </row>
    <row r="10" customFormat="false" ht="15" hidden="false" customHeight="false" outlineLevel="0" collapsed="false">
      <c r="B10" s="5" t="s">
        <v>221</v>
      </c>
      <c r="C10" s="5" t="s">
        <v>222</v>
      </c>
      <c r="D10" s="5" t="s">
        <v>223</v>
      </c>
      <c r="E10" s="40" t="n">
        <f aca="false">'Comps Valuation'!E10</f>
        <v>14.62</v>
      </c>
      <c r="F10" s="41" t="n">
        <f aca="false">'Comps Valuation'!J10</f>
        <v>2.22</v>
      </c>
      <c r="G10" s="28" t="n">
        <f aca="false">1/E10</f>
        <v>0.0683994528043776</v>
      </c>
      <c r="J10" s="28" t="n">
        <f aca="false">G10+Assumptions!$D$59</f>
        <v>0.0983994528043776</v>
      </c>
    </row>
    <row r="11" customFormat="false" ht="15" hidden="false" customHeight="false" outlineLevel="0" collapsed="false">
      <c r="B11" s="5" t="s">
        <v>224</v>
      </c>
      <c r="C11" s="5" t="s">
        <v>225</v>
      </c>
      <c r="D11" s="5" t="s">
        <v>226</v>
      </c>
      <c r="E11" s="40" t="n">
        <f aca="false">'Comps Valuation'!E11</f>
        <v>18.2</v>
      </c>
      <c r="F11" s="41" t="n">
        <f aca="false">'Comps Valuation'!J11</f>
        <v>1.48</v>
      </c>
      <c r="G11" s="28" t="n">
        <f aca="false">1/E11</f>
        <v>0.0549450549450549</v>
      </c>
      <c r="J11" s="28" t="n">
        <f aca="false">G11+Assumptions!$D$59</f>
        <v>0.0849450549450549</v>
      </c>
    </row>
    <row r="12" customFormat="false" ht="15" hidden="false" customHeight="false" outlineLevel="0" collapsed="false">
      <c r="B12" s="5" t="s">
        <v>227</v>
      </c>
      <c r="C12" s="5" t="s">
        <v>228</v>
      </c>
      <c r="D12" s="5" t="s">
        <v>229</v>
      </c>
      <c r="E12" s="40" t="n">
        <f aca="false">'Comps Valuation'!E12</f>
        <v>38.24</v>
      </c>
      <c r="F12" s="41" t="n">
        <f aca="false">'Comps Valuation'!J12</f>
        <v>2.45</v>
      </c>
      <c r="G12" s="28" t="n">
        <f aca="false">1/E12</f>
        <v>0.0261506276150628</v>
      </c>
      <c r="J12" s="28" t="n">
        <f aca="false">G12+Assumptions!$D$59</f>
        <v>0.0561506276150628</v>
      </c>
    </row>
    <row r="14" customFormat="false" ht="15" hidden="false" customHeight="false" outlineLevel="0" collapsed="false">
      <c r="B14" s="2" t="s">
        <v>230</v>
      </c>
      <c r="F14" s="42" t="n">
        <f aca="false">MEDIAN(F7:F12)</f>
        <v>2.17</v>
      </c>
      <c r="J14" s="43" t="n">
        <f aca="false">MEDIAN(J7:J12)</f>
        <v>0.0949879037420903</v>
      </c>
    </row>
    <row r="15" customFormat="false" ht="15" hidden="false" customHeight="false" outlineLevel="0" collapsed="false">
      <c r="B15" s="5" t="s">
        <v>231</v>
      </c>
      <c r="J15" s="28" t="n">
        <f aca="false">AVERAGE(J7:J12)</f>
        <v>0.102168681541904</v>
      </c>
    </row>
    <row r="17" customFormat="false" ht="15" hidden="false" customHeight="false" outlineLevel="0" collapsed="false">
      <c r="B17" s="8" t="s">
        <v>232</v>
      </c>
      <c r="C17" s="9"/>
      <c r="D17" s="9"/>
      <c r="E17" s="9"/>
      <c r="F17" s="9"/>
      <c r="G17" s="9"/>
      <c r="H17" s="9"/>
      <c r="I17" s="9"/>
      <c r="J17" s="9"/>
    </row>
    <row r="18" customFormat="false" ht="15" hidden="false" customHeight="false" outlineLevel="0" collapsed="false">
      <c r="B18" s="5" t="s">
        <v>233</v>
      </c>
      <c r="J18" s="44" t="n">
        <f aca="false">Assumptions!D56</f>
        <v>0.05308</v>
      </c>
    </row>
    <row r="19" customFormat="false" ht="15" hidden="false" customHeight="false" outlineLevel="0" collapsed="false">
      <c r="B19" s="5" t="s">
        <v>90</v>
      </c>
      <c r="J19" s="41" t="n">
        <f aca="false">Assumptions!D57</f>
        <v>2.23</v>
      </c>
    </row>
    <row r="20" customFormat="false" ht="15" hidden="false" customHeight="false" outlineLevel="0" collapsed="false">
      <c r="B20" s="5" t="s">
        <v>92</v>
      </c>
      <c r="J20" s="44" t="n">
        <f aca="false">Assumptions!D58</f>
        <v>0.05</v>
      </c>
    </row>
    <row r="21" customFormat="false" ht="15" hidden="false" customHeight="false" outlineLevel="0" collapsed="false">
      <c r="B21" s="2" t="s">
        <v>234</v>
      </c>
      <c r="J21" s="45" t="n">
        <f aca="false">J18+J19*J20</f>
        <v>0.16458</v>
      </c>
    </row>
    <row r="23" customFormat="false" ht="15" hidden="false" customHeight="false" outlineLevel="0" collapsed="false">
      <c r="B23" s="8" t="s">
        <v>235</v>
      </c>
      <c r="C23" s="9"/>
      <c r="D23" s="9"/>
      <c r="E23" s="9"/>
      <c r="F23" s="9"/>
      <c r="G23" s="9"/>
      <c r="H23" s="9"/>
      <c r="I23" s="9"/>
      <c r="J23" s="9"/>
    </row>
    <row r="24" customFormat="false" ht="15" hidden="false" customHeight="false" outlineLevel="0" collapsed="false">
      <c r="B24" s="5" t="s">
        <v>236</v>
      </c>
      <c r="J24" s="46" t="n">
        <f aca="false">J14</f>
        <v>0.0949879037420903</v>
      </c>
    </row>
    <row r="25" customFormat="false" ht="15" hidden="false" customHeight="false" outlineLevel="0" collapsed="false">
      <c r="B25" s="5" t="s">
        <v>232</v>
      </c>
      <c r="J25" s="46" t="n">
        <f aca="false">J21</f>
        <v>0.16458</v>
      </c>
    </row>
    <row r="26" customFormat="false" ht="15" hidden="false" customHeight="false" outlineLevel="0" collapsed="false">
      <c r="B26" s="5" t="s">
        <v>237</v>
      </c>
      <c r="J26" s="46" t="n">
        <f aca="false">AVERAGE(J24:J25)</f>
        <v>0.129783951871045</v>
      </c>
    </row>
    <row r="27" customFormat="false" ht="15" hidden="false" customHeight="false" outlineLevel="0" collapsed="false">
      <c r="B27" s="5" t="s">
        <v>238</v>
      </c>
      <c r="J27" s="47" t="n">
        <f aca="false">Assumptions!D66</f>
        <v>3</v>
      </c>
    </row>
    <row r="28" customFormat="false" ht="15" hidden="false" customHeight="false" outlineLevel="0" collapsed="false">
      <c r="B28" s="2" t="s">
        <v>239</v>
      </c>
      <c r="J28" s="48" t="n">
        <f aca="false">CHOOSE(J27,J24,J25,J26)</f>
        <v>0.129783951871045</v>
      </c>
      <c r="L28" s="7" t="s">
        <v>240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7" min="3" style="0" width="11"/>
    <col collapsed="false" customWidth="true" hidden="false" outlineLevel="0" max="8" min="8" style="0" width="2"/>
    <col collapsed="false" customWidth="true" hidden="false" outlineLevel="0" max="9" min="9" style="0" width="60"/>
  </cols>
  <sheetData>
    <row r="2" customFormat="false" ht="15" hidden="false" customHeight="false" outlineLevel="0" collapsed="false">
      <c r="B2" s="1" t="s">
        <v>241</v>
      </c>
    </row>
    <row r="3" customFormat="false" ht="15" hidden="false" customHeight="false" outlineLevel="0" collapsed="false">
      <c r="B3" s="7" t="s">
        <v>17</v>
      </c>
    </row>
    <row r="5" customFormat="false" ht="15" hidden="false" customHeight="false" outlineLevel="0" collapsed="false">
      <c r="B5" s="8" t="s">
        <v>242</v>
      </c>
      <c r="C5" s="9"/>
      <c r="D5" s="9"/>
      <c r="E5" s="9"/>
      <c r="F5" s="9"/>
      <c r="G5" s="9"/>
    </row>
    <row r="6" customFormat="false" ht="15" hidden="false" customHeight="false" outlineLevel="0" collapsed="false">
      <c r="C6" s="24" t="s">
        <v>106</v>
      </c>
      <c r="D6" s="24" t="s">
        <v>58</v>
      </c>
      <c r="E6" s="24" t="s">
        <v>60</v>
      </c>
      <c r="F6" s="24" t="s">
        <v>62</v>
      </c>
      <c r="G6" s="24" t="s">
        <v>64</v>
      </c>
    </row>
    <row r="7" customFormat="false" ht="15" hidden="false" customHeight="false" outlineLevel="0" collapsed="false">
      <c r="B7" s="5" t="s">
        <v>135</v>
      </c>
      <c r="C7" s="25" t="n">
        <f aca="false">'Segment Forecast'!G12</f>
        <v>241773.8</v>
      </c>
      <c r="D7" s="25" t="n">
        <f aca="false">'Segment Forecast'!H12</f>
        <v>229685.11</v>
      </c>
      <c r="E7" s="25" t="n">
        <f aca="false">'Segment Forecast'!I12</f>
        <v>172263.8325</v>
      </c>
      <c r="F7" s="25" t="n">
        <f aca="false">'Segment Forecast'!J12</f>
        <v>146424.257625</v>
      </c>
      <c r="G7" s="25" t="n">
        <f aca="false">'Segment Forecast'!K12</f>
        <v>158138.198235</v>
      </c>
    </row>
    <row r="8" customFormat="false" ht="15" hidden="false" customHeight="false" outlineLevel="0" collapsed="false">
      <c r="B8" s="5" t="s">
        <v>110</v>
      </c>
      <c r="C8" s="29" t="n">
        <f aca="false">'Segment Forecast'!G13</f>
        <v>0.815282157551731</v>
      </c>
      <c r="D8" s="29" t="n">
        <f aca="false">'Segment Forecast'!H13</f>
        <v>-0.05</v>
      </c>
      <c r="E8" s="29" t="n">
        <f aca="false">'Segment Forecast'!I13</f>
        <v>-0.25</v>
      </c>
      <c r="F8" s="29" t="n">
        <f aca="false">'Segment Forecast'!J13</f>
        <v>-0.15</v>
      </c>
      <c r="G8" s="29" t="n">
        <f aca="false">'Segment Forecast'!K13</f>
        <v>0.0800000000000001</v>
      </c>
    </row>
    <row r="9" customFormat="false" ht="15" hidden="false" customHeight="false" outlineLevel="0" collapsed="false">
      <c r="B9" s="5" t="s">
        <v>113</v>
      </c>
      <c r="C9" s="25" t="n">
        <f aca="false">'Segment Forecast'!G22</f>
        <v>198168.7784</v>
      </c>
      <c r="D9" s="25" t="n">
        <f aca="false">'Segment Forecast'!H22</f>
        <v>164026.496405</v>
      </c>
      <c r="E9" s="25" t="n">
        <f aca="false">'Segment Forecast'!I22</f>
        <v>104844.4899975</v>
      </c>
      <c r="F9" s="25" t="n">
        <f aca="false">'Segment Forecast'!J22</f>
        <v>73668.7415375625</v>
      </c>
      <c r="G9" s="25" t="n">
        <f aca="false">'Segment Forecast'!K22</f>
        <v>62877.23990343</v>
      </c>
    </row>
    <row r="10" customFormat="false" ht="15" hidden="false" customHeight="false" outlineLevel="0" collapsed="false">
      <c r="B10" s="5" t="s">
        <v>115</v>
      </c>
      <c r="C10" s="28" t="n">
        <f aca="false">C9/C7</f>
        <v>0.81964538093044</v>
      </c>
      <c r="D10" s="28" t="n">
        <f aca="false">D9/D7</f>
        <v>0.714136394845099</v>
      </c>
      <c r="E10" s="28" t="n">
        <f aca="false">E9/E7</f>
        <v>0.608627408759758</v>
      </c>
      <c r="F10" s="28" t="n">
        <f aca="false">F9/F7</f>
        <v>0.503118422674417</v>
      </c>
      <c r="G10" s="28" t="n">
        <f aca="false">G9/G7</f>
        <v>0.397609436589076</v>
      </c>
    </row>
    <row r="11" customFormat="false" ht="15" hidden="false" customHeight="false" outlineLevel="0" collapsed="false">
      <c r="B11" s="5" t="s">
        <v>243</v>
      </c>
      <c r="C11" s="25" t="n">
        <f aca="false">-C9*Assumptions!$D$48</f>
        <v>-29725.31676</v>
      </c>
      <c r="D11" s="25" t="n">
        <f aca="false">-D9*Assumptions!$D$48</f>
        <v>-24603.97446075</v>
      </c>
      <c r="E11" s="25" t="n">
        <f aca="false">-E9*Assumptions!$D$48</f>
        <v>-15726.673499625</v>
      </c>
      <c r="F11" s="25" t="n">
        <f aca="false">-F9*Assumptions!$D$48</f>
        <v>-11050.3112306344</v>
      </c>
      <c r="G11" s="25" t="n">
        <f aca="false">-G9*Assumptions!$D$48</f>
        <v>-9431.5859855145</v>
      </c>
    </row>
    <row r="12" customFormat="false" ht="15" hidden="false" customHeight="false" outlineLevel="0" collapsed="false">
      <c r="B12" s="2" t="s">
        <v>244</v>
      </c>
      <c r="C12" s="27" t="n">
        <f aca="false">C9+C11</f>
        <v>168443.46164</v>
      </c>
      <c r="D12" s="27" t="n">
        <f aca="false">D9+D11</f>
        <v>139422.52194425</v>
      </c>
      <c r="E12" s="27" t="n">
        <f aca="false">E9+E11</f>
        <v>89117.816497875</v>
      </c>
      <c r="F12" s="27" t="n">
        <f aca="false">F9+F11</f>
        <v>62618.4303069281</v>
      </c>
      <c r="G12" s="27" t="n">
        <f aca="false">G9+G11</f>
        <v>53445.6539179155</v>
      </c>
      <c r="I12" s="7" t="s">
        <v>245</v>
      </c>
    </row>
    <row r="13" customFormat="false" ht="15" hidden="false" customHeight="false" outlineLevel="0" collapsed="false">
      <c r="B13" s="5" t="s">
        <v>246</v>
      </c>
      <c r="C13" s="49" t="n">
        <f aca="false">C12/Assumptions!$D$9</f>
        <v>146.855677105493</v>
      </c>
      <c r="D13" s="49" t="n">
        <f aca="false">D12/Assumptions!$D$9</f>
        <v>121.55407318592</v>
      </c>
      <c r="E13" s="49" t="n">
        <f aca="false">E12/Assumptions!$D$9</f>
        <v>77.6964398412162</v>
      </c>
      <c r="F13" s="49" t="n">
        <f aca="false">F12/Assumptions!$D$9</f>
        <v>54.5932260740437</v>
      </c>
      <c r="G13" s="49" t="n">
        <f aca="false">G12/Assumptions!$D$9</f>
        <v>46.5960365456979</v>
      </c>
    </row>
    <row r="15" customFormat="false" ht="15" hidden="false" customHeight="false" outlineLevel="0" collapsed="false">
      <c r="B15" s="5" t="s">
        <v>247</v>
      </c>
      <c r="C15" s="25" t="n">
        <f aca="false">C22*Assumptions!$D$49</f>
        <v>12662</v>
      </c>
      <c r="D15" s="25" t="n">
        <f aca="false">D22*Assumptions!$D$49</f>
        <v>18833.4568</v>
      </c>
      <c r="E15" s="25" t="n">
        <f aca="false">E22*Assumptions!$D$49</f>
        <v>24139.327285</v>
      </c>
      <c r="F15" s="25" t="n">
        <f aca="false">F22*Assumptions!$D$49</f>
        <v>26718.8066255</v>
      </c>
      <c r="G15" s="25" t="n">
        <f aca="false">G22*Assumptions!$D$49</f>
        <v>28183.7732799625</v>
      </c>
      <c r="I15" s="7" t="s">
        <v>248</v>
      </c>
    </row>
    <row r="16" customFormat="false" ht="15" hidden="false" customHeight="false" outlineLevel="0" collapsed="false">
      <c r="B16" s="5" t="s">
        <v>249</v>
      </c>
      <c r="C16" s="26" t="n">
        <f aca="false">-C7*C26</f>
        <v>-43519.284</v>
      </c>
      <c r="D16" s="26" t="n">
        <f aca="false">-D7*D26</f>
        <v>-45362.809225</v>
      </c>
      <c r="E16" s="26" t="n">
        <f aca="false">-E7*E26</f>
        <v>-37036.7239875</v>
      </c>
      <c r="F16" s="26" t="n">
        <f aca="false">-F7*F26</f>
        <v>-34043.6398978125</v>
      </c>
      <c r="G16" s="26" t="n">
        <f aca="false">-G7*G26</f>
        <v>-39534.54955875</v>
      </c>
    </row>
    <row r="17" customFormat="false" ht="15" hidden="false" customHeight="false" outlineLevel="0" collapsed="false">
      <c r="B17" s="5" t="s">
        <v>250</v>
      </c>
      <c r="C17" s="25" t="n">
        <f aca="false">-(C24-'Historical Financials'!H45)</f>
        <v>-15621.07</v>
      </c>
      <c r="D17" s="26" t="n">
        <f aca="false">-(D24-C24)</f>
        <v>1813.3035</v>
      </c>
      <c r="E17" s="26" t="n">
        <f aca="false">-(E24-D24)</f>
        <v>8613.191625</v>
      </c>
      <c r="F17" s="26" t="n">
        <f aca="false">-(F24-E24)</f>
        <v>3875.93623125</v>
      </c>
      <c r="G17" s="26" t="n">
        <f aca="false">-(G24-F24)</f>
        <v>-1757.0910915</v>
      </c>
      <c r="I17" s="7" t="s">
        <v>251</v>
      </c>
    </row>
    <row r="18" customFormat="false" ht="15" hidden="false" customHeight="false" outlineLevel="0" collapsed="false">
      <c r="B18" s="2" t="s">
        <v>252</v>
      </c>
      <c r="C18" s="27" t="n">
        <f aca="false">SUM(C12,C15:C17)</f>
        <v>121965.10764</v>
      </c>
      <c r="D18" s="27" t="n">
        <f aca="false">SUM(D12,D15:D17)</f>
        <v>114706.47301925</v>
      </c>
      <c r="E18" s="27" t="n">
        <f aca="false">SUM(E12,E15:E17)</f>
        <v>84833.611420375</v>
      </c>
      <c r="F18" s="27" t="n">
        <f aca="false">SUM(F12,F15:F17)</f>
        <v>59169.5332658656</v>
      </c>
      <c r="G18" s="27" t="n">
        <f aca="false">SUM(G12,G15:G17)</f>
        <v>40337.786547628</v>
      </c>
    </row>
    <row r="19" customFormat="false" ht="15" hidden="false" customHeight="false" outlineLevel="0" collapsed="false">
      <c r="B19" s="5" t="s">
        <v>253</v>
      </c>
      <c r="C19" s="49" t="n">
        <f aca="false">C18/Assumptions!$D$9</f>
        <v>106.334008404534</v>
      </c>
      <c r="D19" s="49" t="n">
        <f aca="false">D18/Assumptions!$D$9</f>
        <v>100.005643434394</v>
      </c>
      <c r="E19" s="49" t="n">
        <f aca="false">E18/Assumptions!$D$9</f>
        <v>73.9613002793156</v>
      </c>
      <c r="F19" s="49" t="n">
        <f aca="false">F18/Assumptions!$D$9</f>
        <v>51.5863411210685</v>
      </c>
      <c r="G19" s="49" t="n">
        <f aca="false">G18/Assumptions!$D$9</f>
        <v>35.1680789430061</v>
      </c>
    </row>
    <row r="20" customFormat="false" ht="15" hidden="false" customHeight="false" outlineLevel="0" collapsed="false">
      <c r="B20" s="5" t="s">
        <v>254</v>
      </c>
      <c r="C20" s="28" t="n">
        <f aca="false">C18/C7</f>
        <v>0.504459571880824</v>
      </c>
      <c r="D20" s="28" t="n">
        <f aca="false">D18/D7</f>
        <v>0.499407528068537</v>
      </c>
      <c r="E20" s="28" t="n">
        <f aca="false">E18/E7</f>
        <v>0.492463276761098</v>
      </c>
      <c r="F20" s="28" t="n">
        <f aca="false">F18/F7</f>
        <v>0.404096522158247</v>
      </c>
      <c r="G20" s="28" t="n">
        <f aca="false">G18/G7</f>
        <v>0.255079335656047</v>
      </c>
    </row>
    <row r="21" customFormat="false" ht="15" hidden="false" customHeight="false" outlineLevel="0" collapsed="false">
      <c r="B21" s="5" t="s">
        <v>255</v>
      </c>
      <c r="C21" s="26" t="n">
        <f aca="false">C9+C15</f>
        <v>210830.7784</v>
      </c>
      <c r="D21" s="26" t="n">
        <f aca="false">D9+D15</f>
        <v>182859.953205</v>
      </c>
      <c r="E21" s="26" t="n">
        <f aca="false">E9+E15</f>
        <v>128983.8172825</v>
      </c>
      <c r="F21" s="26" t="n">
        <f aca="false">F9+F15</f>
        <v>100387.548163063</v>
      </c>
      <c r="G21" s="26" t="n">
        <f aca="false">G9+G15</f>
        <v>91061.0131833925</v>
      </c>
    </row>
    <row r="22" customFormat="false" ht="15" hidden="false" customHeight="false" outlineLevel="0" collapsed="false">
      <c r="B22" s="5" t="s">
        <v>256</v>
      </c>
      <c r="C22" s="25" t="n">
        <f aca="false">'Historical Financials'!H46</f>
        <v>63310</v>
      </c>
      <c r="D22" s="26" t="n">
        <f aca="false">C23</f>
        <v>94167.284</v>
      </c>
      <c r="E22" s="26" t="n">
        <f aca="false">D23</f>
        <v>120696.636425</v>
      </c>
      <c r="F22" s="26" t="n">
        <f aca="false">E23</f>
        <v>133594.0331275</v>
      </c>
      <c r="G22" s="26" t="n">
        <f aca="false">F23</f>
        <v>140918.866399812</v>
      </c>
      <c r="I22" s="7" t="s">
        <v>257</v>
      </c>
    </row>
    <row r="23" customFormat="false" ht="15" hidden="false" customHeight="false" outlineLevel="0" collapsed="false">
      <c r="B23" s="5" t="s">
        <v>258</v>
      </c>
      <c r="C23" s="26" t="n">
        <f aca="false">C22-C16-C15</f>
        <v>94167.284</v>
      </c>
      <c r="D23" s="26" t="n">
        <f aca="false">D22-D16-D15</f>
        <v>120696.636425</v>
      </c>
      <c r="E23" s="26" t="n">
        <f aca="false">E22-E16-E15</f>
        <v>133594.0331275</v>
      </c>
      <c r="F23" s="26" t="n">
        <f aca="false">F22-F16-F15</f>
        <v>140918.866399812</v>
      </c>
      <c r="G23" s="26" t="n">
        <f aca="false">G22-G16-G15</f>
        <v>152269.6426786</v>
      </c>
    </row>
    <row r="24" customFormat="false" ht="15" hidden="false" customHeight="false" outlineLevel="0" collapsed="false">
      <c r="B24" s="5" t="s">
        <v>259</v>
      </c>
      <c r="C24" s="25" t="n">
        <f aca="false">C7*Assumptions!$D$52</f>
        <v>36266.07</v>
      </c>
      <c r="D24" s="25" t="n">
        <f aca="false">D7*Assumptions!$D$52</f>
        <v>34452.7665</v>
      </c>
      <c r="E24" s="25" t="n">
        <f aca="false">E7*Assumptions!$D$52</f>
        <v>25839.574875</v>
      </c>
      <c r="F24" s="25" t="n">
        <f aca="false">F7*Assumptions!$D$52</f>
        <v>21963.63864375</v>
      </c>
      <c r="G24" s="25" t="n">
        <f aca="false">G7*Assumptions!$D$52</f>
        <v>23720.72973525</v>
      </c>
    </row>
    <row r="25" customFormat="false" ht="15" hidden="false" customHeight="false" outlineLevel="0" collapsed="false">
      <c r="B25" s="5" t="s">
        <v>260</v>
      </c>
      <c r="C25" s="50" t="n">
        <f aca="false">-C16/C15</f>
        <v>3.43699921023535</v>
      </c>
      <c r="D25" s="50" t="n">
        <f aca="false">-D16/D15</f>
        <v>2.40862894723607</v>
      </c>
      <c r="E25" s="50" t="n">
        <f aca="false">-E16/E15</f>
        <v>1.53428981471718</v>
      </c>
      <c r="F25" s="50" t="n">
        <f aca="false">-F16/F15</f>
        <v>1.27414522568242</v>
      </c>
      <c r="G25" s="50" t="n">
        <f aca="false">-G16/G15</f>
        <v>1.4027415408872</v>
      </c>
    </row>
    <row r="26" customFormat="false" ht="15" hidden="false" customHeight="false" outlineLevel="0" collapsed="false">
      <c r="B26" s="5" t="s">
        <v>261</v>
      </c>
      <c r="C26" s="29" t="n">
        <f aca="false">Assumptions!$D$50+(Assumptions!$D$51-Assumptions!$D$50)*0/4</f>
        <v>0.18</v>
      </c>
      <c r="D26" s="29" t="n">
        <f aca="false">Assumptions!$D$50+(Assumptions!$D$51-Assumptions!$D$50)*1/4</f>
        <v>0.1975</v>
      </c>
      <c r="E26" s="29" t="n">
        <f aca="false">Assumptions!$D$50+(Assumptions!$D$51-Assumptions!$D$50)*2/4</f>
        <v>0.215</v>
      </c>
      <c r="F26" s="29" t="n">
        <f aca="false">Assumptions!$D$50+(Assumptions!$D$51-Assumptions!$D$50)*3/4</f>
        <v>0.2325</v>
      </c>
      <c r="G26" s="29" t="n">
        <f aca="false">Assumptions!$D$50+(Assumptions!$D$51-Assumptions!$D$50)*4/4</f>
        <v>0.25</v>
      </c>
    </row>
    <row r="27" customFormat="false" ht="15" hidden="false" customHeight="false" outlineLevel="0" collapsed="false">
      <c r="B27" s="5" t="s">
        <v>262</v>
      </c>
      <c r="C27" s="28" t="n">
        <f aca="false">C9/C22</f>
        <v>3.13013391881219</v>
      </c>
      <c r="D27" s="28" t="n">
        <f aca="false">D9/D22</f>
        <v>1.74186287888477</v>
      </c>
      <c r="E27" s="28" t="n">
        <f aca="false">E9/E22</f>
        <v>0.868661241132843</v>
      </c>
      <c r="F27" s="28" t="n">
        <f aca="false">F9/F22</f>
        <v>0.551437364476108</v>
      </c>
      <c r="G27" s="28" t="n">
        <f aca="false">G9/G22</f>
        <v>0.446194619001801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7" min="3" style="0" width="11"/>
    <col collapsed="false" customWidth="true" hidden="false" outlineLevel="0" max="8" min="8" style="0" width="2"/>
    <col collapsed="false" customWidth="true" hidden="false" outlineLevel="0" max="9" min="9" style="0" width="60"/>
  </cols>
  <sheetData>
    <row r="2" customFormat="false" ht="15" hidden="false" customHeight="false" outlineLevel="0" collapsed="false">
      <c r="B2" s="1" t="s">
        <v>263</v>
      </c>
    </row>
    <row r="3" customFormat="false" ht="15" hidden="false" customHeight="false" outlineLevel="0" collapsed="false">
      <c r="B3" s="7" t="s">
        <v>17</v>
      </c>
    </row>
    <row r="5" customFormat="false" ht="15" hidden="false" customHeight="false" outlineLevel="0" collapsed="false">
      <c r="B5" s="8" t="s">
        <v>264</v>
      </c>
      <c r="C5" s="9"/>
      <c r="D5" s="9"/>
      <c r="E5" s="9"/>
      <c r="F5" s="9"/>
      <c r="G5" s="9"/>
    </row>
    <row r="6" customFormat="false" ht="15" hidden="false" customHeight="false" outlineLevel="0" collapsed="false">
      <c r="C6" s="24" t="s">
        <v>106</v>
      </c>
      <c r="D6" s="24" t="s">
        <v>58</v>
      </c>
      <c r="E6" s="24" t="s">
        <v>60</v>
      </c>
      <c r="F6" s="24" t="s">
        <v>62</v>
      </c>
      <c r="G6" s="24" t="s">
        <v>64</v>
      </c>
    </row>
    <row r="7" customFormat="false" ht="15" hidden="false" customHeight="false" outlineLevel="0" collapsed="false">
      <c r="B7" s="5" t="s">
        <v>265</v>
      </c>
      <c r="C7" s="25" t="n">
        <f aca="false">'Operating Model Output'!C18</f>
        <v>121965.10764</v>
      </c>
      <c r="D7" s="25" t="n">
        <f aca="false">'Operating Model Output'!D18</f>
        <v>114706.47301925</v>
      </c>
      <c r="E7" s="25" t="n">
        <f aca="false">'Operating Model Output'!E18</f>
        <v>84833.611420375</v>
      </c>
      <c r="F7" s="25" t="n">
        <f aca="false">'Operating Model Output'!F18</f>
        <v>59169.5332658656</v>
      </c>
      <c r="G7" s="25" t="n">
        <f aca="false">'Operating Model Output'!G18</f>
        <v>40337.786547628</v>
      </c>
    </row>
    <row r="8" customFormat="false" ht="15" hidden="false" customHeight="false" outlineLevel="0" collapsed="false">
      <c r="B8" s="5" t="s">
        <v>266</v>
      </c>
      <c r="C8" s="29" t="n">
        <f aca="false">Assumptions!$D$14</f>
        <v>0.920547945205479</v>
      </c>
      <c r="D8" s="28" t="n">
        <v>1</v>
      </c>
      <c r="E8" s="28" t="n">
        <v>1</v>
      </c>
      <c r="F8" s="28" t="n">
        <v>1</v>
      </c>
      <c r="G8" s="28" t="n">
        <v>1</v>
      </c>
    </row>
    <row r="9" customFormat="false" ht="15" hidden="false" customHeight="false" outlineLevel="0" collapsed="false">
      <c r="B9" s="5" t="s">
        <v>267</v>
      </c>
      <c r="C9" s="26" t="n">
        <f aca="false">C7*C8</f>
        <v>112274.729224767</v>
      </c>
      <c r="D9" s="26" t="n">
        <f aca="false">D7*D8</f>
        <v>114706.47301925</v>
      </c>
      <c r="E9" s="26" t="n">
        <f aca="false">E7*E8</f>
        <v>84833.611420375</v>
      </c>
      <c r="F9" s="26" t="n">
        <f aca="false">F7*F8</f>
        <v>59169.5332658656</v>
      </c>
      <c r="G9" s="26" t="n">
        <f aca="false">G7*G8</f>
        <v>40337.786547628</v>
      </c>
    </row>
    <row r="10" customFormat="false" ht="15" hidden="false" customHeight="false" outlineLevel="0" collapsed="false">
      <c r="B10" s="5" t="s">
        <v>268</v>
      </c>
      <c r="C10" s="41" t="n">
        <f aca="false">Assumptions!$D$14</f>
        <v>0.920547945205479</v>
      </c>
      <c r="D10" s="51" t="n">
        <f aca="false">C10+1</f>
        <v>1.92054794520548</v>
      </c>
      <c r="E10" s="51" t="n">
        <f aca="false">D10+1</f>
        <v>2.92054794520548</v>
      </c>
      <c r="F10" s="51" t="n">
        <f aca="false">E10+1</f>
        <v>3.92054794520548</v>
      </c>
      <c r="G10" s="51" t="n">
        <f aca="false">F10+1</f>
        <v>4.92054794520548</v>
      </c>
    </row>
    <row r="11" customFormat="false" ht="15" hidden="false" customHeight="false" outlineLevel="0" collapsed="false">
      <c r="B11" s="5" t="s">
        <v>269</v>
      </c>
      <c r="C11" s="51" t="n">
        <f aca="false">IF(Assumptions!$D$15=1,C10-C8/2,C10)</f>
        <v>0.46027397260274</v>
      </c>
      <c r="D11" s="51" t="n">
        <f aca="false">IF(Assumptions!$D$15=1,D10-D8/2,D10)</f>
        <v>1.42054794520548</v>
      </c>
      <c r="E11" s="51" t="n">
        <f aca="false">IF(Assumptions!$D$15=1,E10-E8/2,E10)</f>
        <v>2.42054794520548</v>
      </c>
      <c r="F11" s="51" t="n">
        <f aca="false">IF(Assumptions!$D$15=1,F10-F8/2,F10)</f>
        <v>3.42054794520548</v>
      </c>
      <c r="G11" s="51" t="n">
        <f aca="false">IF(Assumptions!$D$15=1,G10-G8/2,G10)</f>
        <v>4.42054794520548</v>
      </c>
    </row>
    <row r="12" customFormat="false" ht="15" hidden="false" customHeight="false" outlineLevel="0" collapsed="false">
      <c r="B12" s="5" t="s">
        <v>270</v>
      </c>
      <c r="C12" s="44" t="n">
        <f aca="false">'Cost of Equity'!$J$28</f>
        <v>0.129783951871045</v>
      </c>
      <c r="D12" s="44" t="n">
        <f aca="false">'Cost of Equity'!$J$28</f>
        <v>0.129783951871045</v>
      </c>
      <c r="E12" s="44" t="n">
        <f aca="false">'Cost of Equity'!$J$28</f>
        <v>0.129783951871045</v>
      </c>
      <c r="F12" s="44" t="n">
        <f aca="false">'Cost of Equity'!$J$28</f>
        <v>0.129783951871045</v>
      </c>
      <c r="G12" s="44" t="n">
        <f aca="false">'Cost of Equity'!$J$28</f>
        <v>0.129783951871045</v>
      </c>
    </row>
    <row r="13" customFormat="false" ht="15" hidden="false" customHeight="false" outlineLevel="0" collapsed="false">
      <c r="B13" s="5" t="s">
        <v>271</v>
      </c>
      <c r="C13" s="52" t="n">
        <f aca="false">1/(1+C12)^C11</f>
        <v>0.945382581050227</v>
      </c>
      <c r="D13" s="52" t="n">
        <f aca="false">1/(1+D12)^D11</f>
        <v>0.84084799190002</v>
      </c>
      <c r="E13" s="52" t="n">
        <f aca="false">1/(1+E12)^E11</f>
        <v>0.744255563647797</v>
      </c>
      <c r="F13" s="52" t="n">
        <f aca="false">1/(1+F12)^F11</f>
        <v>0.658759192335161</v>
      </c>
      <c r="G13" s="52" t="n">
        <f aca="false">1/(1+G12)^G11</f>
        <v>0.583084218220824</v>
      </c>
    </row>
    <row r="14" customFormat="false" ht="15" hidden="false" customHeight="false" outlineLevel="0" collapsed="false">
      <c r="B14" s="5" t="s">
        <v>272</v>
      </c>
      <c r="C14" s="26" t="n">
        <f aca="false">C9*C13</f>
        <v>106142.573301226</v>
      </c>
      <c r="D14" s="26" t="n">
        <f aca="false">D9*D13</f>
        <v>96450.7074961701</v>
      </c>
      <c r="E14" s="26" t="n">
        <f aca="false">E9*E13</f>
        <v>63137.8872839494</v>
      </c>
      <c r="F14" s="26" t="n">
        <f aca="false">F9*F13</f>
        <v>38978.4739450701</v>
      </c>
      <c r="G14" s="26" t="n">
        <f aca="false">G9*G13</f>
        <v>23520.3267338821</v>
      </c>
    </row>
    <row r="16" customFormat="false" ht="15" hidden="false" customHeight="false" outlineLevel="0" collapsed="false">
      <c r="B16" s="8" t="s">
        <v>273</v>
      </c>
      <c r="C16" s="9"/>
      <c r="D16" s="9"/>
      <c r="E16" s="9"/>
      <c r="F16" s="9"/>
      <c r="G16" s="9"/>
    </row>
    <row r="17" customFormat="false" ht="15" hidden="false" customHeight="false" outlineLevel="0" collapsed="false">
      <c r="B17" s="5" t="s">
        <v>274</v>
      </c>
      <c r="G17" s="26" t="n">
        <f aca="false">G7</f>
        <v>40337.786547628</v>
      </c>
      <c r="I17" s="7" t="s">
        <v>275</v>
      </c>
    </row>
    <row r="18" customFormat="false" ht="15" hidden="false" customHeight="false" outlineLevel="0" collapsed="false">
      <c r="B18" s="5" t="s">
        <v>276</v>
      </c>
      <c r="G18" s="44" t="n">
        <f aca="false">Assumptions!D53</f>
        <v>0.03</v>
      </c>
    </row>
    <row r="19" customFormat="false" ht="15" hidden="false" customHeight="false" outlineLevel="0" collapsed="false">
      <c r="B19" s="5" t="s">
        <v>270</v>
      </c>
      <c r="G19" s="44" t="n">
        <f aca="false">'Cost of Equity'!J28</f>
        <v>0.129783951871045</v>
      </c>
    </row>
    <row r="20" customFormat="false" ht="15" hidden="false" customHeight="false" outlineLevel="0" collapsed="false">
      <c r="B20" s="5" t="s">
        <v>277</v>
      </c>
      <c r="G20" s="26" t="n">
        <f aca="false">G17*(1+G18)/(G19-G18)</f>
        <v>416378.780004132</v>
      </c>
      <c r="I20" s="7" t="s">
        <v>278</v>
      </c>
    </row>
    <row r="21" customFormat="false" ht="15" hidden="false" customHeight="false" outlineLevel="0" collapsed="false">
      <c r="B21" s="5" t="s">
        <v>279</v>
      </c>
      <c r="G21" s="51" t="n">
        <f aca="false">G10</f>
        <v>4.92054794520548</v>
      </c>
    </row>
    <row r="22" customFormat="false" ht="15" hidden="false" customHeight="false" outlineLevel="0" collapsed="false">
      <c r="B22" s="5" t="s">
        <v>280</v>
      </c>
      <c r="G22" s="26" t="n">
        <f aca="false">G20/(1+G19)^G21</f>
        <v>228413.713530664</v>
      </c>
    </row>
    <row r="23" customFormat="false" ht="15" hidden="false" customHeight="false" outlineLevel="0" collapsed="false">
      <c r="B23" s="5" t="s">
        <v>281</v>
      </c>
      <c r="G23" s="26" t="n">
        <f aca="false">SUM(C14:G14)</f>
        <v>328229.968760297</v>
      </c>
    </row>
    <row r="24" customFormat="false" ht="15" hidden="false" customHeight="false" outlineLevel="0" collapsed="false">
      <c r="B24" s="2" t="s">
        <v>282</v>
      </c>
      <c r="G24" s="53" t="n">
        <f aca="false">G22+G23</f>
        <v>556643.682290961</v>
      </c>
    </row>
    <row r="25" customFormat="false" ht="15" hidden="false" customHeight="false" outlineLevel="0" collapsed="false">
      <c r="B25" s="5" t="s">
        <v>283</v>
      </c>
      <c r="G25" s="25" t="n">
        <f aca="false">Assumptions!D10</f>
        <v>73453</v>
      </c>
    </row>
    <row r="26" customFormat="false" ht="15" hidden="false" customHeight="false" outlineLevel="0" collapsed="false">
      <c r="B26" s="5" t="s">
        <v>284</v>
      </c>
      <c r="G26" s="25" t="n">
        <f aca="false">-Assumptions!D11</f>
        <v>-5179</v>
      </c>
    </row>
    <row r="27" customFormat="false" ht="15" hidden="false" customHeight="false" outlineLevel="0" collapsed="false">
      <c r="B27" s="5" t="s">
        <v>285</v>
      </c>
      <c r="G27" s="25" t="n">
        <f aca="false">-Assumptions!D12</f>
        <v>-12895</v>
      </c>
    </row>
    <row r="28" customFormat="false" ht="15" hidden="false" customHeight="false" outlineLevel="0" collapsed="false">
      <c r="B28" s="2" t="s">
        <v>286</v>
      </c>
      <c r="G28" s="53" t="n">
        <f aca="false">SUM(G24:G27)</f>
        <v>612022.682290961</v>
      </c>
    </row>
    <row r="29" customFormat="false" ht="15" hidden="false" customHeight="false" outlineLevel="0" collapsed="false">
      <c r="B29" s="5" t="s">
        <v>287</v>
      </c>
      <c r="G29" s="54" t="n">
        <f aca="false">Assumptions!D9</f>
        <v>1147</v>
      </c>
    </row>
    <row r="30" customFormat="false" ht="15" hidden="false" customHeight="false" outlineLevel="0" collapsed="false">
      <c r="B30" s="2" t="s">
        <v>288</v>
      </c>
      <c r="G30" s="55" t="n">
        <f aca="false">G28/G29</f>
        <v>533.585599207464</v>
      </c>
      <c r="I30" s="7" t="s">
        <v>289</v>
      </c>
    </row>
    <row r="31" customFormat="false" ht="15" hidden="false" customHeight="false" outlineLevel="0" collapsed="false">
      <c r="B31" s="5" t="s">
        <v>24</v>
      </c>
      <c r="G31" s="49" t="n">
        <f aca="false">Assumptions!D8</f>
        <v>1045.55</v>
      </c>
    </row>
    <row r="32" customFormat="false" ht="15" hidden="false" customHeight="false" outlineLevel="0" collapsed="false">
      <c r="B32" s="2" t="s">
        <v>290</v>
      </c>
      <c r="G32" s="31" t="n">
        <f aca="false">G30/G31-1</f>
        <v>-0.489660370898127</v>
      </c>
    </row>
    <row r="34" customFormat="false" ht="15" hidden="false" customHeight="false" outlineLevel="0" collapsed="false">
      <c r="B34" s="5" t="s">
        <v>291</v>
      </c>
      <c r="G34" s="28" t="n">
        <f aca="false">G22/G24</f>
        <v>0.410340978973458</v>
      </c>
    </row>
    <row r="35" customFormat="false" ht="15" hidden="false" customHeight="false" outlineLevel="0" collapsed="false">
      <c r="B35" s="5" t="s">
        <v>292</v>
      </c>
      <c r="G35" s="40" t="n">
        <f aca="false">G30/'Operating Model Output'!C13</f>
        <v>3.63340123939619</v>
      </c>
    </row>
    <row r="36" customFormat="false" ht="15" hidden="false" customHeight="false" outlineLevel="0" collapsed="false">
      <c r="B36" s="5" t="s">
        <v>293</v>
      </c>
      <c r="G36" s="40" t="n">
        <f aca="false">G30/'Operating Model Output'!G13</f>
        <v>11.4513087112927</v>
      </c>
    </row>
    <row r="37" customFormat="false" ht="15" hidden="false" customHeight="false" outlineLevel="0" collapsed="false">
      <c r="B37" s="5" t="s">
        <v>294</v>
      </c>
      <c r="G37" s="40" t="n">
        <f aca="false">G31/'Comps Valuation'!G24</f>
        <v>5.15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1"/>
    <col collapsed="false" customWidth="true" hidden="false" outlineLevel="0" max="10" min="4" style="0" width="10.51"/>
    <col collapsed="false" customWidth="true" hidden="false" outlineLevel="0" max="11" min="11" style="0" width="2"/>
  </cols>
  <sheetData>
    <row r="2" customFormat="false" ht="15" hidden="false" customHeight="false" outlineLevel="0" collapsed="false">
      <c r="B2" s="1" t="s">
        <v>295</v>
      </c>
    </row>
    <row r="3" customFormat="false" ht="15" hidden="false" customHeight="false" outlineLevel="0" collapsed="false">
      <c r="B3" s="7" t="s">
        <v>17</v>
      </c>
    </row>
    <row r="5" customFormat="false" ht="15" hidden="false" customHeight="false" outlineLevel="0" collapsed="false">
      <c r="B5" s="8" t="s">
        <v>296</v>
      </c>
      <c r="C5" s="9"/>
      <c r="D5" s="9"/>
      <c r="E5" s="9"/>
      <c r="F5" s="9"/>
      <c r="G5" s="9"/>
      <c r="H5" s="9"/>
      <c r="I5" s="9"/>
      <c r="J5" s="9"/>
    </row>
    <row r="7" customFormat="false" ht="15" hidden="false" customHeight="false" outlineLevel="0" collapsed="false">
      <c r="C7" s="56" t="s">
        <v>297</v>
      </c>
      <c r="D7" s="57" t="n">
        <f aca="false">'OUT-DCF'!$G$18-3*Assumptions!$D$63</f>
        <v>0.0225</v>
      </c>
      <c r="E7" s="57" t="n">
        <f aca="false">'OUT-DCF'!$G$18-2*Assumptions!$D$63</f>
        <v>0.025</v>
      </c>
      <c r="F7" s="57" t="n">
        <f aca="false">'OUT-DCF'!$G$18-1*Assumptions!$D$63</f>
        <v>0.0275</v>
      </c>
      <c r="G7" s="57" t="n">
        <f aca="false">'OUT-DCF'!$G$18+0*Assumptions!$D$63</f>
        <v>0.03</v>
      </c>
      <c r="H7" s="57" t="n">
        <f aca="false">'OUT-DCF'!$G$18+1*Assumptions!$D$63</f>
        <v>0.0325</v>
      </c>
      <c r="I7" s="57" t="n">
        <f aca="false">'OUT-DCF'!$G$18+2*Assumptions!$D$63</f>
        <v>0.035</v>
      </c>
      <c r="J7" s="57" t="n">
        <f aca="false">'OUT-DCF'!$G$18+3*Assumptions!$D$63</f>
        <v>0.0375</v>
      </c>
    </row>
    <row r="8" customFormat="false" ht="15" hidden="false" customHeight="false" outlineLevel="0" collapsed="false">
      <c r="C8" s="58" t="n">
        <f aca="false">'OUT-DCF'!$G$19-3*Assumptions!$D$62</f>
        <v>0.0997839518710451</v>
      </c>
      <c r="D8" s="26" t="n">
        <f aca="false">IF($C8&lt;=D$7,"n.m.",(SUMPRODUCT('OUT-DCF'!$C$9:$G$9,1/(1+$C8)^'OUT-DCF'!$C$11:$G$11)+'OUT-DCF'!$G$17*(1+D$7)/($C8-D$7)/(1+$C8)^'OUT-DCF'!$G$21+('OUT-DCF'!$G$25+'OUT-DCF'!$G$26+'OUT-DCF'!$G$27))/Assumptions!$D$9)</f>
        <v>639.834042017226</v>
      </c>
      <c r="E8" s="26" t="n">
        <f aca="false">IF($C8&lt;=E$7,"n.m.",(SUMPRODUCT('OUT-DCF'!$C$9:$G$9,1/(1+$C8)^'OUT-DCF'!$C$11:$G$11)+'OUT-DCF'!$G$17*(1+E$7)/($C8-E$7)/(1+$C8)^'OUT-DCF'!$G$21+('OUT-DCF'!$G$25+'OUT-DCF'!$G$26+'OUT-DCF'!$G$27))/Assumptions!$D$9)</f>
        <v>650.311196927577</v>
      </c>
      <c r="F8" s="26" t="n">
        <f aca="false">IF($C8&lt;=F$7,"n.m.",(SUMPRODUCT('OUT-DCF'!$C$9:$G$9,1/(1+$C8)^'OUT-DCF'!$C$11:$G$11)+'OUT-DCF'!$G$17*(1+F$7)/($C8-F$7)/(1+$C8)^'OUT-DCF'!$G$21+('OUT-DCF'!$G$25+'OUT-DCF'!$G$26+'OUT-DCF'!$G$27))/Assumptions!$D$9)</f>
        <v>661.513073898576</v>
      </c>
      <c r="G8" s="26" t="n">
        <f aca="false">IF($C8&lt;=G$7,"n.m.",(SUMPRODUCT('OUT-DCF'!$C$9:$G$9,1/(1+$C8)^'OUT-DCF'!$C$11:$G$11)+'OUT-DCF'!$G$17*(1+G$7)/($C8-G$7)/(1+$C8)^'OUT-DCF'!$G$21+('OUT-DCF'!$G$25+'OUT-DCF'!$G$26+'OUT-DCF'!$G$27))/Assumptions!$D$9)</f>
        <v>673.517562119773</v>
      </c>
      <c r="H8" s="26" t="n">
        <f aca="false">IF($C8&lt;=H$7,"n.m.",(SUMPRODUCT('OUT-DCF'!$C$9:$G$9,1/(1+$C8)^'OUT-DCF'!$C$11:$G$11)+'OUT-DCF'!$G$17*(1+H$7)/($C8-H$7)/(1+$C8)^'OUT-DCF'!$G$21+('OUT-DCF'!$G$25+'OUT-DCF'!$G$26+'OUT-DCF'!$G$27))/Assumptions!$D$9)</f>
        <v>686.414126971977</v>
      </c>
      <c r="I8" s="26" t="n">
        <f aca="false">IF($C8&lt;=I$7,"n.m.",(SUMPRODUCT('OUT-DCF'!$C$9:$G$9,1/(1+$C8)^'OUT-DCF'!$C$11:$G$11)+'OUT-DCF'!$G$17*(1+I$7)/($C8-I$7)/(1+$C8)^'OUT-DCF'!$G$21+('OUT-DCF'!$G$25+'OUT-DCF'!$G$26+'OUT-DCF'!$G$27))/Assumptions!$D$9)</f>
        <v>700.306043642011</v>
      </c>
      <c r="J8" s="26" t="n">
        <f aca="false">IF($C8&lt;=J$7,"n.m.",(SUMPRODUCT('OUT-DCF'!$C$9:$G$9,1/(1+$C8)^'OUT-DCF'!$C$11:$G$11)+'OUT-DCF'!$G$17*(1+J$7)/($C8-J$7)/(1+$C8)^'OUT-DCF'!$G$21+('OUT-DCF'!$G$25+'OUT-DCF'!$G$26+'OUT-DCF'!$G$27))/Assumptions!$D$9)</f>
        <v>715.313168664495</v>
      </c>
    </row>
    <row r="9" customFormat="false" ht="15" hidden="false" customHeight="false" outlineLevel="0" collapsed="false">
      <c r="C9" s="58" t="n">
        <f aca="false">'OUT-DCF'!$G$19-2*Assumptions!$D$62</f>
        <v>0.109783951871045</v>
      </c>
      <c r="D9" s="26" t="n">
        <f aca="false">IF($C9&lt;=D$7,"n.m.",(SUMPRODUCT('OUT-DCF'!$C$9:$G$9,1/(1+$C9)^'OUT-DCF'!$C$11:$G$11)+'OUT-DCF'!$G$17*(1+D$7)/($C9-D$7)/(1+$C9)^'OUT-DCF'!$G$21+('OUT-DCF'!$G$25+'OUT-DCF'!$G$26+'OUT-DCF'!$G$27))/Assumptions!$D$9)</f>
        <v>590.390654719787</v>
      </c>
      <c r="E9" s="26" t="n">
        <f aca="false">IF($C9&lt;=E$7,"n.m.",(SUMPRODUCT('OUT-DCF'!$C$9:$G$9,1/(1+$C9)^'OUT-DCF'!$C$11:$G$11)+'OUT-DCF'!$G$17*(1+E$7)/($C9-E$7)/(1+$C9)^'OUT-DCF'!$G$21+('OUT-DCF'!$G$25+'OUT-DCF'!$G$26+'OUT-DCF'!$G$27))/Assumptions!$D$9)</f>
        <v>598.287999942273</v>
      </c>
      <c r="F9" s="26" t="n">
        <f aca="false">IF($C9&lt;=F$7,"n.m.",(SUMPRODUCT('OUT-DCF'!$C$9:$G$9,1/(1+$C9)^'OUT-DCF'!$C$11:$G$11)+'OUT-DCF'!$G$17*(1+F$7)/($C9-F$7)/(1+$C9)^'OUT-DCF'!$G$21+('OUT-DCF'!$G$25+'OUT-DCF'!$G$26+'OUT-DCF'!$G$27))/Assumptions!$D$9)</f>
        <v>606.665228850637</v>
      </c>
      <c r="G9" s="26" t="n">
        <f aca="false">IF($C9&lt;=G$7,"n.m.",(SUMPRODUCT('OUT-DCF'!$C$9:$G$9,1/(1+$C9)^'OUT-DCF'!$C$11:$G$11)+'OUT-DCF'!$G$17*(1+G$7)/($C9-G$7)/(1+$C9)^'OUT-DCF'!$G$21+('OUT-DCF'!$G$25+'OUT-DCF'!$G$26+'OUT-DCF'!$G$27))/Assumptions!$D$9)</f>
        <v>615.567452367059</v>
      </c>
      <c r="H9" s="26" t="n">
        <f aca="false">IF($C9&lt;=H$7,"n.m.",(SUMPRODUCT('OUT-DCF'!$C$9:$G$9,1/(1+$C9)^'OUT-DCF'!$C$11:$G$11)+'OUT-DCF'!$G$17*(1+H$7)/($C9-H$7)/(1+$C9)^'OUT-DCF'!$G$21+('OUT-DCF'!$G$25+'OUT-DCF'!$G$26+'OUT-DCF'!$G$27))/Assumptions!$D$9)</f>
        <v>625.04561844988</v>
      </c>
      <c r="I9" s="26" t="n">
        <f aca="false">IF($C9&lt;=I$7,"n.m.",(SUMPRODUCT('OUT-DCF'!$C$9:$G$9,1/(1+$C9)^'OUT-DCF'!$C$11:$G$11)+'OUT-DCF'!$G$17*(1+I$7)/($C9-I$7)/(1+$C9)^'OUT-DCF'!$G$21+('OUT-DCF'!$G$25+'OUT-DCF'!$G$26+'OUT-DCF'!$G$27))/Assumptions!$D$9)</f>
        <v>635.157487743462</v>
      </c>
      <c r="J9" s="26" t="n">
        <f aca="false">IF($C9&lt;=J$7,"n.m.",(SUMPRODUCT('OUT-DCF'!$C$9:$G$9,1/(1+$C9)^'OUT-DCF'!$C$11:$G$11)+'OUT-DCF'!$G$17*(1+J$7)/($C9-J$7)/(1+$C9)^'OUT-DCF'!$G$21+('OUT-DCF'!$G$25+'OUT-DCF'!$G$26+'OUT-DCF'!$G$27))/Assumptions!$D$9)</f>
        <v>645.968811689968</v>
      </c>
    </row>
    <row r="10" customFormat="false" ht="15" hidden="false" customHeight="false" outlineLevel="0" collapsed="false">
      <c r="C10" s="58" t="n">
        <f aca="false">'OUT-DCF'!$G$19-1*Assumptions!$D$62</f>
        <v>0.119783951871045</v>
      </c>
      <c r="D10" s="26" t="n">
        <f aca="false">IF($C10&lt;=D$7,"n.m.",(SUMPRODUCT('OUT-DCF'!$C$9:$G$9,1/(1+$C10)^'OUT-DCF'!$C$11:$G$11)+'OUT-DCF'!$G$17*(1+D$7)/($C10-D$7)/(1+$C10)^'OUT-DCF'!$G$21+('OUT-DCF'!$G$25+'OUT-DCF'!$G$26+'OUT-DCF'!$G$27))/Assumptions!$D$9)</f>
        <v>550.800191041611</v>
      </c>
      <c r="E10" s="26" t="n">
        <f aca="false">IF($C10&lt;=E$7,"n.m.",(SUMPRODUCT('OUT-DCF'!$C$9:$G$9,1/(1+$C10)^'OUT-DCF'!$C$11:$G$11)+'OUT-DCF'!$G$17*(1+E$7)/($C10-E$7)/(1+$C10)^'OUT-DCF'!$G$21+('OUT-DCF'!$G$25+'OUT-DCF'!$G$26+'OUT-DCF'!$G$27))/Assumptions!$D$9)</f>
        <v>556.919177580964</v>
      </c>
      <c r="F10" s="26" t="n">
        <f aca="false">IF($C10&lt;=F$7,"n.m.",(SUMPRODUCT('OUT-DCF'!$C$9:$G$9,1/(1+$C10)^'OUT-DCF'!$C$11:$G$11)+'OUT-DCF'!$G$17*(1+F$7)/($C10-F$7)/(1+$C10)^'OUT-DCF'!$G$21+('OUT-DCF'!$G$25+'OUT-DCF'!$G$26+'OUT-DCF'!$G$27))/Assumptions!$D$9)</f>
        <v>563.369694490185</v>
      </c>
      <c r="G10" s="26" t="n">
        <f aca="false">IF($C10&lt;=G$7,"n.m.",(SUMPRODUCT('OUT-DCF'!$C$9:$G$9,1/(1+$C10)^'OUT-DCF'!$C$11:$G$11)+'OUT-DCF'!$G$17*(1+G$7)/($C10-G$7)/(1+$C10)^'OUT-DCF'!$G$21+('OUT-DCF'!$G$25+'OUT-DCF'!$G$26+'OUT-DCF'!$G$27))/Assumptions!$D$9)</f>
        <v>570.179435780535</v>
      </c>
      <c r="H10" s="26" t="n">
        <f aca="false">IF($C10&lt;=H$7,"n.m.",(SUMPRODUCT('OUT-DCF'!$C$9:$G$9,1/(1+$C10)^'OUT-DCF'!$C$11:$G$11)+'OUT-DCF'!$G$17*(1+H$7)/($C10-H$7)/(1+$C10)^'OUT-DCF'!$G$21+('OUT-DCF'!$G$25+'OUT-DCF'!$G$26+'OUT-DCF'!$G$27))/Assumptions!$D$9)</f>
        <v>577.379268327316</v>
      </c>
      <c r="I10" s="26" t="n">
        <f aca="false">IF($C10&lt;=I$7,"n.m.",(SUMPRODUCT('OUT-DCF'!$C$9:$G$9,1/(1+$C10)^'OUT-DCF'!$C$11:$G$11)+'OUT-DCF'!$G$17*(1+I$7)/($C10-I$7)/(1+$C10)^'OUT-DCF'!$G$21+('OUT-DCF'!$G$25+'OUT-DCF'!$G$26+'OUT-DCF'!$G$27))/Assumptions!$D$9)</f>
        <v>585.003699656526</v>
      </c>
      <c r="J10" s="26" t="n">
        <f aca="false">IF($C10&lt;=J$7,"n.m.",(SUMPRODUCT('OUT-DCF'!$C$9:$G$9,1/(1+$C10)^'OUT-DCF'!$C$11:$G$11)+'OUT-DCF'!$G$17*(1+J$7)/($C10-J$7)/(1+$C10)^'OUT-DCF'!$G$21+('OUT-DCF'!$G$25+'OUT-DCF'!$G$26+'OUT-DCF'!$G$27))/Assumptions!$D$9)</f>
        <v>593.091431006934</v>
      </c>
    </row>
    <row r="11" customFormat="false" ht="15" hidden="false" customHeight="false" outlineLevel="0" collapsed="false">
      <c r="C11" s="58" t="n">
        <f aca="false">'OUT-DCF'!$G$19+0*Assumptions!$D$62</f>
        <v>0.129783951871045</v>
      </c>
      <c r="D11" s="26" t="n">
        <f aca="false">IF($C11&lt;=D$7,"n.m.",(SUMPRODUCT('OUT-DCF'!$C$9:$G$9,1/(1+$C11)^'OUT-DCF'!$C$11:$G$11)+'OUT-DCF'!$G$17*(1+D$7)/($C11-D$7)/(1+$C11)^'OUT-DCF'!$G$21+('OUT-DCF'!$G$25+'OUT-DCF'!$G$26+'OUT-DCF'!$G$27))/Assumptions!$D$9)</f>
        <v>518.315444601489</v>
      </c>
      <c r="E11" s="26" t="n">
        <f aca="false">IF($C11&lt;=E$7,"n.m.",(SUMPRODUCT('OUT-DCF'!$C$9:$G$9,1/(1+$C11)^'OUT-DCF'!$C$11:$G$11)+'OUT-DCF'!$G$17*(1+E$7)/($C11-E$7)/(1+$C11)^'OUT-DCF'!$G$21+('OUT-DCF'!$G$25+'OUT-DCF'!$G$26+'OUT-DCF'!$G$27))/Assumptions!$D$9)</f>
        <v>523.162612973675</v>
      </c>
      <c r="F11" s="26" t="n">
        <f aca="false">IF($C11&lt;=F$7,"n.m.",(SUMPRODUCT('OUT-DCF'!$C$9:$G$9,1/(1+$C11)^'OUT-DCF'!$C$11:$G$11)+'OUT-DCF'!$G$17*(1+F$7)/($C11-F$7)/(1+$C11)^'OUT-DCF'!$G$21+('OUT-DCF'!$G$25+'OUT-DCF'!$G$26+'OUT-DCF'!$G$27))/Assumptions!$D$9)</f>
        <v>528.246728016552</v>
      </c>
      <c r="G11" s="59" t="n">
        <f aca="false">IF($C11&lt;=G$7,"n.m.",(SUMPRODUCT('OUT-DCF'!$C$9:$G$9,1/(1+$C11)^'OUT-DCF'!$C$11:$G$11)+'OUT-DCF'!$G$17*(1+G$7)/($C11-G$7)/(1+$C11)^'OUT-DCF'!$G$21+('OUT-DCF'!$G$25+'OUT-DCF'!$G$26+'OUT-DCF'!$G$27))/Assumptions!$D$9)</f>
        <v>533.585599207464</v>
      </c>
      <c r="H11" s="26" t="n">
        <f aca="false">IF($C11&lt;=H$7,"n.m.",(SUMPRODUCT('OUT-DCF'!$C$9:$G$9,1/(1+$C11)^'OUT-DCF'!$C$11:$G$11)+'OUT-DCF'!$G$17*(1+H$7)/($C11-H$7)/(1+$C11)^'OUT-DCF'!$G$21+('OUT-DCF'!$G$25+'OUT-DCF'!$G$26+'OUT-DCF'!$G$27))/Assumptions!$D$9)</f>
        <v>539.198866693357</v>
      </c>
      <c r="I11" s="26" t="n">
        <f aca="false">IF($C11&lt;=I$7,"n.m.",(SUMPRODUCT('OUT-DCF'!$C$9:$G$9,1/(1+$C11)^'OUT-DCF'!$C$11:$G$11)+'OUT-DCF'!$G$17*(1+I$7)/($C11-I$7)/(1+$C11)^'OUT-DCF'!$G$21+('OUT-DCF'!$G$25+'OUT-DCF'!$G$26+'OUT-DCF'!$G$27))/Assumptions!$D$9)</f>
        <v>545.108242717409</v>
      </c>
      <c r="J11" s="26" t="n">
        <f aca="false">IF($C11&lt;=J$7,"n.m.",(SUMPRODUCT('OUT-DCF'!$C$9:$G$9,1/(1+$C11)^'OUT-DCF'!$C$11:$G$11)+'OUT-DCF'!$G$17*(1+J$7)/($C11-J$7)/(1+$C11)^'OUT-DCF'!$G$21+('OUT-DCF'!$G$25+'OUT-DCF'!$G$26+'OUT-DCF'!$G$27))/Assumptions!$D$9)</f>
        <v>551.337792287579</v>
      </c>
    </row>
    <row r="12" customFormat="false" ht="15" hidden="false" customHeight="false" outlineLevel="0" collapsed="false">
      <c r="C12" s="58" t="n">
        <f aca="false">'OUT-DCF'!$G$19+1*Assumptions!$D$62</f>
        <v>0.139783951871045</v>
      </c>
      <c r="D12" s="26" t="n">
        <f aca="false">IF($C12&lt;=D$7,"n.m.",(SUMPRODUCT('OUT-DCF'!$C$9:$G$9,1/(1+$C12)^'OUT-DCF'!$C$11:$G$11)+'OUT-DCF'!$G$17*(1+D$7)/($C12-D$7)/(1+$C12)^'OUT-DCF'!$G$21+('OUT-DCF'!$G$25+'OUT-DCF'!$G$26+'OUT-DCF'!$G$27))/Assumptions!$D$9)</f>
        <v>491.12597149915</v>
      </c>
      <c r="E12" s="26" t="n">
        <f aca="false">IF($C12&lt;=E$7,"n.m.",(SUMPRODUCT('OUT-DCF'!$C$9:$G$9,1/(1+$C12)^'OUT-DCF'!$C$11:$G$11)+'OUT-DCF'!$G$17*(1+E$7)/($C12-E$7)/(1+$C12)^'OUT-DCF'!$G$21+('OUT-DCF'!$G$25+'OUT-DCF'!$G$26+'OUT-DCF'!$G$27))/Assumptions!$D$9)</f>
        <v>495.03612139507</v>
      </c>
      <c r="F12" s="26" t="n">
        <f aca="false">IF($C12&lt;=F$7,"n.m.",(SUMPRODUCT('OUT-DCF'!$C$9:$G$9,1/(1+$C12)^'OUT-DCF'!$C$11:$G$11)+'OUT-DCF'!$G$17*(1+F$7)/($C12-F$7)/(1+$C12)^'OUT-DCF'!$G$21+('OUT-DCF'!$G$25+'OUT-DCF'!$G$26+'OUT-DCF'!$G$27))/Assumptions!$D$9)</f>
        <v>499.120390113438</v>
      </c>
      <c r="G12" s="26" t="n">
        <f aca="false">IF($C12&lt;=G$7,"n.m.",(SUMPRODUCT('OUT-DCF'!$C$9:$G$9,1/(1+$C12)^'OUT-DCF'!$C$11:$G$11)+'OUT-DCF'!$G$17*(1+G$7)/($C12-G$7)/(1+$C12)^'OUT-DCF'!$G$21+('OUT-DCF'!$G$25+'OUT-DCF'!$G$26+'OUT-DCF'!$G$27))/Assumptions!$D$9)</f>
        <v>503.390672755005</v>
      </c>
      <c r="H12" s="26" t="n">
        <f aca="false">IF($C12&lt;=H$7,"n.m.",(SUMPRODUCT('OUT-DCF'!$C$9:$G$9,1/(1+$C12)^'OUT-DCF'!$C$11:$G$11)+'OUT-DCF'!$G$17*(1+H$7)/($C12-H$7)/(1+$C12)^'OUT-DCF'!$G$21+('OUT-DCF'!$G$25+'OUT-DCF'!$G$26+'OUT-DCF'!$G$27))/Assumptions!$D$9)</f>
        <v>507.859973169831</v>
      </c>
      <c r="I12" s="26" t="n">
        <f aca="false">IF($C12&lt;=I$7,"n.m.",(SUMPRODUCT('OUT-DCF'!$C$9:$G$9,1/(1+$C12)^'OUT-DCF'!$C$11:$G$11)+'OUT-DCF'!$G$17*(1+I$7)/($C12-I$7)/(1+$C12)^'OUT-DCF'!$G$21+('OUT-DCF'!$G$25+'OUT-DCF'!$G$26+'OUT-DCF'!$G$27))/Assumptions!$D$9)</f>
        <v>512.542536223402</v>
      </c>
      <c r="J12" s="26" t="n">
        <f aca="false">IF($C12&lt;=J$7,"n.m.",(SUMPRODUCT('OUT-DCF'!$C$9:$G$9,1/(1+$C12)^'OUT-DCF'!$C$11:$G$11)+'OUT-DCF'!$G$17*(1+J$7)/($C12-J$7)/(1+$C12)^'OUT-DCF'!$G$21+('OUT-DCF'!$G$25+'OUT-DCF'!$G$26+'OUT-DCF'!$G$27))/Assumptions!$D$9)</f>
        <v>517.453999459647</v>
      </c>
    </row>
    <row r="13" customFormat="false" ht="15" hidden="false" customHeight="false" outlineLevel="0" collapsed="false">
      <c r="C13" s="58" t="n">
        <f aca="false">'OUT-DCF'!$G$19+2*Assumptions!$D$62</f>
        <v>0.149783951871045</v>
      </c>
      <c r="D13" s="26" t="n">
        <f aca="false">IF($C13&lt;=D$7,"n.m.",(SUMPRODUCT('OUT-DCF'!$C$9:$G$9,1/(1+$C13)^'OUT-DCF'!$C$11:$G$11)+'OUT-DCF'!$G$17*(1+D$7)/($C13-D$7)/(1+$C13)^'OUT-DCF'!$G$21+('OUT-DCF'!$G$25+'OUT-DCF'!$G$26+'OUT-DCF'!$G$27))/Assumptions!$D$9)</f>
        <v>467.990106588444</v>
      </c>
      <c r="E13" s="26" t="n">
        <f aca="false">IF($C13&lt;=E$7,"n.m.",(SUMPRODUCT('OUT-DCF'!$C$9:$G$9,1/(1+$C13)^'OUT-DCF'!$C$11:$G$11)+'OUT-DCF'!$G$17*(1+E$7)/($C13-E$7)/(1+$C13)^'OUT-DCF'!$G$21+('OUT-DCF'!$G$25+'OUT-DCF'!$G$26+'OUT-DCF'!$G$27))/Assumptions!$D$9)</f>
        <v>471.192741123186</v>
      </c>
      <c r="F13" s="26" t="n">
        <f aca="false">IF($C13&lt;=F$7,"n.m.",(SUMPRODUCT('OUT-DCF'!$C$9:$G$9,1/(1+$C13)^'OUT-DCF'!$C$11:$G$11)+'OUT-DCF'!$G$17*(1+F$7)/($C13-F$7)/(1+$C13)^'OUT-DCF'!$G$21+('OUT-DCF'!$G$25+'OUT-DCF'!$G$26+'OUT-DCF'!$G$27))/Assumptions!$D$9)</f>
        <v>474.526326387184</v>
      </c>
      <c r="G13" s="26" t="n">
        <f aca="false">IF($C13&lt;=G$7,"n.m.",(SUMPRODUCT('OUT-DCF'!$C$9:$G$9,1/(1+$C13)^'OUT-DCF'!$C$11:$G$11)+'OUT-DCF'!$G$17*(1+G$7)/($C13-G$7)/(1+$C13)^'OUT-DCF'!$G$21+('OUT-DCF'!$G$25+'OUT-DCF'!$G$26+'OUT-DCF'!$G$27))/Assumptions!$D$9)</f>
        <v>477.999061562832</v>
      </c>
      <c r="H13" s="26" t="n">
        <f aca="false">IF($C13&lt;=H$7,"n.m.",(SUMPRODUCT('OUT-DCF'!$C$9:$G$9,1/(1+$C13)^'OUT-DCF'!$C$11:$G$11)+'OUT-DCF'!$G$17*(1+H$7)/($C13-H$7)/(1+$C13)^'OUT-DCF'!$G$21+('OUT-DCF'!$G$25+'OUT-DCF'!$G$26+'OUT-DCF'!$G$27))/Assumptions!$D$9)</f>
        <v>481.619844920701</v>
      </c>
      <c r="I13" s="26" t="n">
        <f aca="false">IF($C13&lt;=I$7,"n.m.",(SUMPRODUCT('OUT-DCF'!$C$9:$G$9,1/(1+$C13)^'OUT-DCF'!$C$11:$G$11)+'OUT-DCF'!$G$17*(1+I$7)/($C13-I$7)/(1+$C13)^'OUT-DCF'!$G$21+('OUT-DCF'!$G$25+'OUT-DCF'!$G$26+'OUT-DCF'!$G$27))/Assumptions!$D$9)</f>
        <v>485.398349950409</v>
      </c>
      <c r="J13" s="26" t="n">
        <f aca="false">IF($C13&lt;=J$7,"n.m.",(SUMPRODUCT('OUT-DCF'!$C$9:$G$9,1/(1+$C13)^'OUT-DCF'!$C$11:$G$11)+'OUT-DCF'!$G$17*(1+J$7)/($C13-J$7)/(1+$C13)^'OUT-DCF'!$G$21+('OUT-DCF'!$G$25+'OUT-DCF'!$G$26+'OUT-DCF'!$G$27))/Assumptions!$D$9)</f>
        <v>489.345111661805</v>
      </c>
    </row>
    <row r="14" customFormat="false" ht="15" hidden="false" customHeight="false" outlineLevel="0" collapsed="false">
      <c r="C14" s="58" t="n">
        <f aca="false">'OUT-DCF'!$G$19+3*Assumptions!$D$62</f>
        <v>0.159783951871045</v>
      </c>
      <c r="D14" s="26" t="n">
        <f aca="false">IF($C14&lt;=D$7,"n.m.",(SUMPRODUCT('OUT-DCF'!$C$9:$G$9,1/(1+$C14)^'OUT-DCF'!$C$11:$G$11)+'OUT-DCF'!$G$17*(1+D$7)/($C14-D$7)/(1+$C14)^'OUT-DCF'!$G$21+('OUT-DCF'!$G$25+'OUT-DCF'!$G$26+'OUT-DCF'!$G$27))/Assumptions!$D$9)</f>
        <v>448.027808199624</v>
      </c>
      <c r="E14" s="26" t="n">
        <f aca="false">IF($C14&lt;=E$7,"n.m.",(SUMPRODUCT('OUT-DCF'!$C$9:$G$9,1/(1+$C14)^'OUT-DCF'!$C$11:$G$11)+'OUT-DCF'!$G$17*(1+E$7)/($C14-E$7)/(1+$C14)^'OUT-DCF'!$G$21+('OUT-DCF'!$G$25+'OUT-DCF'!$G$26+'OUT-DCF'!$G$27))/Assumptions!$D$9)</f>
        <v>450.685087524596</v>
      </c>
      <c r="F14" s="26" t="n">
        <f aca="false">IF($C14&lt;=F$7,"n.m.",(SUMPRODUCT('OUT-DCF'!$C$9:$G$9,1/(1+$C14)^'OUT-DCF'!$C$11:$G$11)+'OUT-DCF'!$G$17*(1+F$7)/($C14-F$7)/(1+$C14)^'OUT-DCF'!$G$21+('OUT-DCF'!$G$25+'OUT-DCF'!$G$26+'OUT-DCF'!$G$27))/Assumptions!$D$9)</f>
        <v>453.442805311202</v>
      </c>
      <c r="G14" s="26" t="n">
        <f aca="false">IF($C14&lt;=G$7,"n.m.",(SUMPRODUCT('OUT-DCF'!$C$9:$G$9,1/(1+$C14)^'OUT-DCF'!$C$11:$G$11)+'OUT-DCF'!$G$17*(1+G$7)/($C14-G$7)/(1+$C14)^'OUT-DCF'!$G$21+('OUT-DCF'!$G$25+'OUT-DCF'!$G$26+'OUT-DCF'!$G$27))/Assumptions!$D$9)</f>
        <v>456.30676573208</v>
      </c>
      <c r="H14" s="26" t="n">
        <f aca="false">IF($C14&lt;=H$7,"n.m.",(SUMPRODUCT('OUT-DCF'!$C$9:$G$9,1/(1+$C14)^'OUT-DCF'!$C$11:$G$11)+'OUT-DCF'!$G$17*(1+H$7)/($C14-H$7)/(1+$C14)^'OUT-DCF'!$G$21+('OUT-DCF'!$G$25+'OUT-DCF'!$G$26+'OUT-DCF'!$G$27))/Assumptions!$D$9)</f>
        <v>459.283228961787</v>
      </c>
      <c r="I14" s="26" t="n">
        <f aca="false">IF($C14&lt;=I$7,"n.m.",(SUMPRODUCT('OUT-DCF'!$C$9:$G$9,1/(1+$C14)^'OUT-DCF'!$C$11:$G$11)+'OUT-DCF'!$G$17*(1+I$7)/($C14-I$7)/(1+$C14)^'OUT-DCF'!$G$21+('OUT-DCF'!$G$25+'OUT-DCF'!$G$26+'OUT-DCF'!$G$27))/Assumptions!$D$9)</f>
        <v>462.378956855944</v>
      </c>
      <c r="J14" s="26" t="n">
        <f aca="false">IF($C14&lt;=J$7,"n.m.",(SUMPRODUCT('OUT-DCF'!$C$9:$G$9,1/(1+$C14)^'OUT-DCF'!$C$11:$G$11)+'OUT-DCF'!$G$17*(1+J$7)/($C14-J$7)/(1+$C14)^'OUT-DCF'!$G$21+('OUT-DCF'!$G$25+'OUT-DCF'!$G$26+'OUT-DCF'!$G$27))/Assumptions!$D$9)</f>
        <v>465.601264233621</v>
      </c>
    </row>
    <row r="16" customFormat="false" ht="15" hidden="false" customHeight="false" outlineLevel="0" collapsed="false">
      <c r="B16" s="8" t="s">
        <v>298</v>
      </c>
      <c r="C16" s="9"/>
      <c r="D16" s="9"/>
      <c r="E16" s="9"/>
      <c r="F16" s="9"/>
      <c r="G16" s="9"/>
      <c r="H16" s="9"/>
      <c r="I16" s="9"/>
      <c r="J16" s="9"/>
    </row>
    <row r="18" customFormat="false" ht="15" hidden="false" customHeight="false" outlineLevel="0" collapsed="false">
      <c r="C18" s="56" t="s">
        <v>297</v>
      </c>
      <c r="D18" s="57" t="n">
        <f aca="false">D7</f>
        <v>0.0225</v>
      </c>
      <c r="E18" s="57" t="n">
        <f aca="false">E7</f>
        <v>0.025</v>
      </c>
      <c r="F18" s="57" t="n">
        <f aca="false">F7</f>
        <v>0.0275</v>
      </c>
      <c r="G18" s="57" t="n">
        <f aca="false">G7</f>
        <v>0.03</v>
      </c>
      <c r="H18" s="57" t="n">
        <f aca="false">H7</f>
        <v>0.0325</v>
      </c>
      <c r="I18" s="57" t="n">
        <f aca="false">I7</f>
        <v>0.035</v>
      </c>
      <c r="J18" s="57" t="n">
        <f aca="false">J7</f>
        <v>0.0375</v>
      </c>
    </row>
    <row r="19" customFormat="false" ht="15" hidden="false" customHeight="false" outlineLevel="0" collapsed="false">
      <c r="C19" s="58" t="n">
        <f aca="false">C8</f>
        <v>0.0997839518710451</v>
      </c>
      <c r="D19" s="60" t="n">
        <f aca="false">IF(ISNUMBER(D8),D8/Assumptions!$D$8-1,"n.m.")</f>
        <v>-0.388040703919252</v>
      </c>
      <c r="E19" s="60" t="n">
        <f aca="false">IF(ISNUMBER(E8),E8/Assumptions!$D$8-1,"n.m.")</f>
        <v>-0.378019992417793</v>
      </c>
      <c r="F19" s="60" t="n">
        <f aca="false">IF(ISNUMBER(F8),F8/Assumptions!$D$8-1,"n.m.")</f>
        <v>-0.367306131798024</v>
      </c>
      <c r="G19" s="60" t="n">
        <f aca="false">IF(ISNUMBER(G8),G8/Assumptions!$D$8-1,"n.m.")</f>
        <v>-0.355824626158699</v>
      </c>
      <c r="H19" s="60" t="n">
        <f aca="false">IF(ISNUMBER(H8),H8/Assumptions!$D$8-1,"n.m.")</f>
        <v>-0.343489907730881</v>
      </c>
      <c r="I19" s="60" t="n">
        <f aca="false">IF(ISNUMBER(I8),I8/Assumptions!$D$8-1,"n.m.")</f>
        <v>-0.330203200571937</v>
      </c>
      <c r="J19" s="60" t="n">
        <f aca="false">IF(ISNUMBER(J8),J8/Assumptions!$D$8-1,"n.m.")</f>
        <v>-0.315849869767591</v>
      </c>
    </row>
    <row r="20" customFormat="false" ht="15" hidden="false" customHeight="false" outlineLevel="0" collapsed="false">
      <c r="C20" s="58" t="n">
        <f aca="false">C9</f>
        <v>0.109783951871045</v>
      </c>
      <c r="D20" s="60" t="n">
        <f aca="false">IF(ISNUMBER(D9),D9/Assumptions!$D$8-1,"n.m.")</f>
        <v>-0.435330061001591</v>
      </c>
      <c r="E20" s="60" t="n">
        <f aca="false">IF(ISNUMBER(E9),E9/Assumptions!$D$8-1,"n.m.")</f>
        <v>-0.427776768263332</v>
      </c>
      <c r="F20" s="60" t="n">
        <f aca="false">IF(ISNUMBER(F9),F9/Assumptions!$D$8-1,"n.m.")</f>
        <v>-0.419764498253898</v>
      </c>
      <c r="G20" s="60" t="n">
        <f aca="false">IF(ISNUMBER(G9),G9/Assumptions!$D$8-1,"n.m.")</f>
        <v>-0.411250105334935</v>
      </c>
      <c r="H20" s="60" t="n">
        <f aca="false">IF(ISNUMBER(H9),H9/Assumptions!$D$8-1,"n.m.")</f>
        <v>-0.402184861125838</v>
      </c>
      <c r="I20" s="60" t="n">
        <f aca="false">IF(ISNUMBER(I9),I9/Assumptions!$D$8-1,"n.m.")</f>
        <v>-0.392513521358651</v>
      </c>
      <c r="J20" s="60" t="n">
        <f aca="false">IF(ISNUMBER(J9),J9/Assumptions!$D$8-1,"n.m.")</f>
        <v>-0.382173199091418</v>
      </c>
    </row>
    <row r="21" customFormat="false" ht="15" hidden="false" customHeight="false" outlineLevel="0" collapsed="false">
      <c r="C21" s="58" t="n">
        <f aca="false">C10</f>
        <v>0.119783951871045</v>
      </c>
      <c r="D21" s="60" t="n">
        <f aca="false">IF(ISNUMBER(D10),D10/Assumptions!$D$8-1,"n.m.")</f>
        <v>-0.473195742870632</v>
      </c>
      <c r="E21" s="60" t="n">
        <f aca="false">IF(ISNUMBER(E10),E10/Assumptions!$D$8-1,"n.m.")</f>
        <v>-0.467343333574708</v>
      </c>
      <c r="F21" s="60" t="n">
        <f aca="false">IF(ISNUMBER(F10),F10/Assumptions!$D$8-1,"n.m.")</f>
        <v>-0.46117383722425</v>
      </c>
      <c r="G21" s="60" t="n">
        <f aca="false">IF(ISNUMBER(G10),G10/Assumptions!$D$8-1,"n.m.")</f>
        <v>-0.454660766313869</v>
      </c>
      <c r="H21" s="60" t="n">
        <f aca="false">IF(ISNUMBER(H10),H10/Assumptions!$D$8-1,"n.m.")</f>
        <v>-0.447774598701816</v>
      </c>
      <c r="I21" s="60" t="n">
        <f aca="false">IF(ISNUMBER(I10),I10/Assumptions!$D$8-1,"n.m.")</f>
        <v>-0.440482330202739</v>
      </c>
      <c r="J21" s="60" t="n">
        <f aca="false">IF(ISNUMBER(J10),J10/Assumptions!$D$8-1,"n.m.")</f>
        <v>-0.432746945620072</v>
      </c>
    </row>
    <row r="22" customFormat="false" ht="15" hidden="false" customHeight="false" outlineLevel="0" collapsed="false">
      <c r="C22" s="58" t="n">
        <f aca="false">C11</f>
        <v>0.129783951871045</v>
      </c>
      <c r="D22" s="60" t="n">
        <f aca="false">IF(ISNUMBER(D11),D11/Assumptions!$D$8-1,"n.m.")</f>
        <v>-0.504265272247631</v>
      </c>
      <c r="E22" s="60" t="n">
        <f aca="false">IF(ISNUMBER(E11),E11/Assumptions!$D$8-1,"n.m.")</f>
        <v>-0.499629273613242</v>
      </c>
      <c r="F22" s="60" t="n">
        <f aca="false">IF(ISNUMBER(F11),F11/Assumptions!$D$8-1,"n.m.")</f>
        <v>-0.494766651029074</v>
      </c>
      <c r="G22" s="61" t="n">
        <f aca="false">IF(ISNUMBER(G11),G11/Assumptions!$D$8-1,"n.m.")</f>
        <v>-0.489660370898127</v>
      </c>
      <c r="H22" s="60" t="n">
        <f aca="false">IF(ISNUMBER(H11),H11/Assumptions!$D$8-1,"n.m.")</f>
        <v>-0.484291648707994</v>
      </c>
      <c r="I22" s="60" t="n">
        <f aca="false">IF(ISNUMBER(I11),I11/Assumptions!$D$8-1,"n.m.")</f>
        <v>-0.478639718122128</v>
      </c>
      <c r="J22" s="60" t="n">
        <f aca="false">IF(ISNUMBER(J11),J11/Assumptions!$D$8-1,"n.m.")</f>
        <v>-0.47268156253878</v>
      </c>
    </row>
    <row r="23" customFormat="false" ht="15" hidden="false" customHeight="false" outlineLevel="0" collapsed="false">
      <c r="C23" s="58" t="n">
        <f aca="false">C12</f>
        <v>0.139783951871045</v>
      </c>
      <c r="D23" s="60" t="n">
        <f aca="false">IF(ISNUMBER(D12),D12/Assumptions!$D$8-1,"n.m.")</f>
        <v>-0.530270219980728</v>
      </c>
      <c r="E23" s="60" t="n">
        <f aca="false">IF(ISNUMBER(E12),E12/Assumptions!$D$8-1,"n.m.")</f>
        <v>-0.526530418062197</v>
      </c>
      <c r="F23" s="60" t="n">
        <f aca="false">IF(ISNUMBER(F12),F12/Assumptions!$D$8-1,"n.m.")</f>
        <v>-0.522624082910011</v>
      </c>
      <c r="G23" s="60" t="n">
        <f aca="false">IF(ISNUMBER(G12),G12/Assumptions!$D$8-1,"n.m.")</f>
        <v>-0.518539837640472</v>
      </c>
      <c r="H23" s="60" t="n">
        <f aca="false">IF(ISNUMBER(H12),H12/Assumptions!$D$8-1,"n.m.")</f>
        <v>-0.514265244923886</v>
      </c>
      <c r="I23" s="60" t="n">
        <f aca="false">IF(ISNUMBER(I12),I12/Assumptions!$D$8-1,"n.m.")</f>
        <v>-0.509786680480702</v>
      </c>
      <c r="J23" s="60" t="n">
        <f aca="false">IF(ISNUMBER(J12),J12/Assumptions!$D$8-1,"n.m.")</f>
        <v>-0.505089188025779</v>
      </c>
    </row>
    <row r="24" customFormat="false" ht="15" hidden="false" customHeight="false" outlineLevel="0" collapsed="false">
      <c r="C24" s="58" t="n">
        <f aca="false">C13</f>
        <v>0.149783951871045</v>
      </c>
      <c r="D24" s="60" t="n">
        <f aca="false">IF(ISNUMBER(D13),D13/Assumptions!$D$8-1,"n.m.")</f>
        <v>-0.552398157344514</v>
      </c>
      <c r="E24" s="60" t="n">
        <f aca="false">IF(ISNUMBER(E13),E13/Assumptions!$D$8-1,"n.m.")</f>
        <v>-0.549335047464792</v>
      </c>
      <c r="F24" s="60" t="n">
        <f aca="false">IF(ISNUMBER(F13),F13/Assumptions!$D$8-1,"n.m.")</f>
        <v>-0.546146691801268</v>
      </c>
      <c r="G24" s="60" t="n">
        <f aca="false">IF(ISNUMBER(G13),G13/Assumptions!$D$8-1,"n.m.")</f>
        <v>-0.542825248373744</v>
      </c>
      <c r="H24" s="60" t="n">
        <f aca="false">IF(ISNUMBER(H13),H13/Assumptions!$D$8-1,"n.m.")</f>
        <v>-0.539362206570034</v>
      </c>
      <c r="I24" s="60" t="n">
        <f aca="false">IF(ISNUMBER(I13),I13/Assumptions!$D$8-1,"n.m.")</f>
        <v>-0.535748314331778</v>
      </c>
      <c r="J24" s="60" t="n">
        <f aca="false">IF(ISNUMBER(J13),J13/Assumptions!$D$8-1,"n.m.")</f>
        <v>-0.531973495613022</v>
      </c>
    </row>
    <row r="25" customFormat="false" ht="15" hidden="false" customHeight="false" outlineLevel="0" collapsed="false">
      <c r="C25" s="58" t="n">
        <f aca="false">C14</f>
        <v>0.159783951871045</v>
      </c>
      <c r="D25" s="60" t="n">
        <f aca="false">IF(ISNUMBER(D14),D14/Assumptions!$D$8-1,"n.m.")</f>
        <v>-0.571490786476377</v>
      </c>
      <c r="E25" s="60" t="n">
        <f aca="false">IF(ISNUMBER(E14),E14/Assumptions!$D$8-1,"n.m.")</f>
        <v>-0.568949273086322</v>
      </c>
      <c r="F25" s="60" t="n">
        <f aca="false">IF(ISNUMBER(F14),F14/Assumptions!$D$8-1,"n.m.")</f>
        <v>-0.566311696895221</v>
      </c>
      <c r="G25" s="60" t="n">
        <f aca="false">IF(ISNUMBER(G14),G14/Assumptions!$D$8-1,"n.m.")</f>
        <v>-0.563572506592626</v>
      </c>
      <c r="H25" s="60" t="n">
        <f aca="false">IF(ISNUMBER(H14),H14/Assumptions!$D$8-1,"n.m.")</f>
        <v>-0.560725714732163</v>
      </c>
      <c r="I25" s="60" t="n">
        <f aca="false">IF(ISNUMBER(I14),I14/Assumptions!$D$8-1,"n.m.")</f>
        <v>-0.557764854042424</v>
      </c>
      <c r="J25" s="60" t="n">
        <f aca="false">IF(ISNUMBER(J14),J14/Assumptions!$D$8-1,"n.m.")</f>
        <v>-0.554682928378728</v>
      </c>
    </row>
    <row r="27" customFormat="false" ht="15" hidden="false" customHeight="false" outlineLevel="0" collapsed="false">
      <c r="B27" s="5" t="s">
        <v>299</v>
      </c>
      <c r="G27" s="51" t="n">
        <f aca="false">ROUND(G11-'OUT-DCF'!G30,6)</f>
        <v>0</v>
      </c>
    </row>
    <row r="29" customFormat="false" ht="15" hidden="false" customHeight="false" outlineLevel="0" collapsed="false">
      <c r="B29" s="8" t="s">
        <v>300</v>
      </c>
      <c r="C29" s="9"/>
      <c r="D29" s="9"/>
      <c r="E29" s="9"/>
      <c r="F29" s="9"/>
      <c r="G29" s="9"/>
      <c r="H29" s="9"/>
      <c r="I29" s="9"/>
      <c r="J29" s="9"/>
    </row>
    <row r="30" customFormat="false" ht="15" hidden="false" customHeight="false" outlineLevel="0" collapsed="false">
      <c r="B30" s="5" t="s">
        <v>301</v>
      </c>
      <c r="G30" s="25" t="n">
        <f aca="false">'OUT-DCF'!G23+('OUT-DCF'!$G$25+'OUT-DCF'!$G$26+'OUT-DCF'!$G$27)</f>
        <v>383608.968760297</v>
      </c>
    </row>
    <row r="31" customFormat="false" ht="15" hidden="false" customHeight="false" outlineLevel="0" collapsed="false">
      <c r="B31" s="5" t="s">
        <v>302</v>
      </c>
      <c r="G31" s="26" t="n">
        <f aca="false">Assumptions!D8*Assumptions!D9-G30</f>
        <v>815636.881239703</v>
      </c>
    </row>
    <row r="32" customFormat="false" ht="15" hidden="false" customHeight="false" outlineLevel="0" collapsed="false">
      <c r="B32" s="5" t="s">
        <v>303</v>
      </c>
      <c r="G32" s="26" t="n">
        <f aca="false">G31*(1+'OUT-DCF'!G19)^'OUT-DCF'!G21</f>
        <v>1486836.68895113</v>
      </c>
    </row>
    <row r="33" customFormat="false" ht="15" hidden="false" customHeight="false" outlineLevel="0" collapsed="false">
      <c r="B33" s="5" t="s">
        <v>304</v>
      </c>
      <c r="G33" s="26" t="n">
        <f aca="false">G32*('OUT-DCF'!G19-'OUT-DCF'!G18)/(1+'OUT-DCF'!G18)</f>
        <v>144041.20447612</v>
      </c>
    </row>
    <row r="34" customFormat="false" ht="15" hidden="false" customHeight="false" outlineLevel="0" collapsed="false">
      <c r="B34" s="5" t="s">
        <v>305</v>
      </c>
      <c r="G34" s="25" t="n">
        <f aca="false">'OUT-DCF'!G17</f>
        <v>40337.786547628</v>
      </c>
    </row>
    <row r="35" customFormat="false" ht="15" hidden="false" customHeight="false" outlineLevel="0" collapsed="false">
      <c r="B35" s="2" t="s">
        <v>306</v>
      </c>
      <c r="G35" s="62" t="n">
        <f aca="false">G33/G34</f>
        <v>3.57087527115664</v>
      </c>
    </row>
    <row r="36" customFormat="false" ht="15" hidden="false" customHeight="false" outlineLevel="0" collapsed="false">
      <c r="B36" s="2" t="s">
        <v>307</v>
      </c>
      <c r="G36" s="31" t="n">
        <f aca="false">(G32/'OUT-DCF'!G17*'OUT-DCF'!G19-1)/(G32/'OUT-DCF'!G17+1)</f>
        <v>0.0999425783890621</v>
      </c>
    </row>
  </sheetData>
  <conditionalFormatting sqref="D8:J14">
    <cfRule type="expression" priority="2" aboveAverage="0" equalAverage="0" bottom="0" percent="0" rank="0" text="" dxfId="0">
      <formula>AND(ISNUMBER(D8),D8&gt;=Assumptions!$D$8)</formula>
    </cfRule>
    <cfRule type="expression" priority="3" aboveAverage="0" equalAverage="0" bottom="0" percent="0" rank="0" text="" dxfId="1">
      <formula>AND(ISNUMBER(D8),D8&lt;Assumptions!$D$8)</formula>
    </cfRule>
  </conditionalFormatting>
  <conditionalFormatting sqref="D19:J25">
    <cfRule type="expression" priority="4" aboveAverage="0" equalAverage="0" bottom="0" percent="0" rank="0" text="" dxfId="0">
      <formula>AND(ISNUMBER(D19),D19&gt;=0)</formula>
    </cfRule>
    <cfRule type="expression" priority="5" aboveAverage="0" equalAverage="0" bottom="0" percent="0" rank="0" text="" dxfId="1">
      <formula>AND(ISNUMBER(D19),D19&lt;0)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9"/>
    <col collapsed="false" customWidth="true" hidden="false" outlineLevel="0" max="4" min="4" style="0" width="22"/>
    <col collapsed="false" customWidth="true" hidden="false" outlineLevel="0" max="11" min="5" style="0" width="10"/>
    <col collapsed="false" customWidth="true" hidden="false" outlineLevel="0" max="12" min="12" style="0" width="60"/>
  </cols>
  <sheetData>
    <row r="2" customFormat="false" ht="15" hidden="false" customHeight="false" outlineLevel="0" collapsed="false">
      <c r="B2" s="1" t="s">
        <v>308</v>
      </c>
    </row>
    <row r="3" customFormat="false" ht="15" hidden="false" customHeight="false" outlineLevel="0" collapsed="false">
      <c r="B3" s="7" t="s">
        <v>17</v>
      </c>
    </row>
    <row r="5" customFormat="false" ht="15" hidden="false" customHeight="false" outlineLevel="0" collapsed="false">
      <c r="B5" s="8" t="s">
        <v>309</v>
      </c>
      <c r="C5" s="9"/>
      <c r="D5" s="9"/>
      <c r="E5" s="9"/>
      <c r="F5" s="9"/>
      <c r="G5" s="9"/>
      <c r="H5" s="9"/>
      <c r="I5" s="9"/>
      <c r="J5" s="9"/>
      <c r="K5" s="9"/>
    </row>
    <row r="6" customFormat="false" ht="19.4" hidden="false" customHeight="false" outlineLevel="0" collapsed="false">
      <c r="B6" s="17" t="s">
        <v>205</v>
      </c>
      <c r="C6" s="17" t="s">
        <v>21</v>
      </c>
      <c r="D6" s="17" t="s">
        <v>206</v>
      </c>
      <c r="E6" s="17" t="s">
        <v>207</v>
      </c>
      <c r="F6" s="17" t="s">
        <v>310</v>
      </c>
      <c r="G6" s="17" t="s">
        <v>311</v>
      </c>
      <c r="H6" s="17" t="s">
        <v>312</v>
      </c>
      <c r="I6" s="17" t="s">
        <v>313</v>
      </c>
      <c r="J6" s="17" t="s">
        <v>208</v>
      </c>
      <c r="K6" s="17" t="s">
        <v>314</v>
      </c>
    </row>
    <row r="7" customFormat="false" ht="15" hidden="false" customHeight="false" outlineLevel="0" collapsed="false">
      <c r="B7" s="5" t="s">
        <v>211</v>
      </c>
      <c r="C7" s="5" t="s">
        <v>212</v>
      </c>
      <c r="D7" s="5" t="s">
        <v>213</v>
      </c>
      <c r="E7" s="63" t="n">
        <v>6.69</v>
      </c>
      <c r="F7" s="63" t="n">
        <v>19.9</v>
      </c>
      <c r="G7" s="63" t="n">
        <v>12.4</v>
      </c>
      <c r="H7" s="63" t="n">
        <v>22.25</v>
      </c>
      <c r="I7" s="64" t="n">
        <v>255.7</v>
      </c>
      <c r="J7" s="65" t="n">
        <v>5.22</v>
      </c>
      <c r="K7" s="66" t="n">
        <v>0.6158</v>
      </c>
      <c r="L7" s="7" t="s">
        <v>315</v>
      </c>
    </row>
    <row r="8" customFormat="false" ht="15" hidden="false" customHeight="false" outlineLevel="0" collapsed="false">
      <c r="B8" s="5" t="s">
        <v>215</v>
      </c>
      <c r="C8" s="5" t="s">
        <v>216</v>
      </c>
      <c r="D8" s="5" t="s">
        <v>217</v>
      </c>
      <c r="E8" s="63" t="n">
        <v>13.8</v>
      </c>
      <c r="F8" s="63" t="n">
        <v>32.74</v>
      </c>
      <c r="G8" s="63" t="n">
        <v>12.59</v>
      </c>
      <c r="H8" s="63" t="n">
        <v>46.43</v>
      </c>
      <c r="I8" s="64" t="n">
        <v>163.03</v>
      </c>
      <c r="J8" s="65" t="n">
        <v>2.12</v>
      </c>
      <c r="K8" s="66" t="n">
        <v>0.3558</v>
      </c>
    </row>
    <row r="9" customFormat="false" ht="15" hidden="false" customHeight="false" outlineLevel="0" collapsed="false">
      <c r="B9" s="5" t="s">
        <v>219</v>
      </c>
      <c r="C9" s="5" t="s">
        <v>220</v>
      </c>
      <c r="D9" s="5" t="s">
        <v>217</v>
      </c>
      <c r="E9" s="63" t="n">
        <v>16.24</v>
      </c>
      <c r="F9" s="63" t="n">
        <v>47.26</v>
      </c>
      <c r="G9" s="63" t="n">
        <v>17.45</v>
      </c>
      <c r="H9" s="63" t="n">
        <v>67.82</v>
      </c>
      <c r="I9" s="64" t="n">
        <v>210.57</v>
      </c>
      <c r="J9" s="65" t="n">
        <v>2.08</v>
      </c>
      <c r="K9" s="66" t="n">
        <v>0.3465</v>
      </c>
    </row>
    <row r="10" customFormat="false" ht="15" hidden="false" customHeight="false" outlineLevel="0" collapsed="false">
      <c r="B10" s="5" t="s">
        <v>221</v>
      </c>
      <c r="C10" s="5" t="s">
        <v>222</v>
      </c>
      <c r="D10" s="5" t="s">
        <v>223</v>
      </c>
      <c r="E10" s="63" t="n">
        <v>14.62</v>
      </c>
      <c r="F10" s="63" t="n">
        <v>27.28</v>
      </c>
      <c r="G10" s="63" t="n">
        <v>18.12</v>
      </c>
      <c r="H10" s="63" t="n">
        <v>43.71</v>
      </c>
      <c r="I10" s="64" t="n">
        <v>5550.83</v>
      </c>
      <c r="J10" s="65" t="n">
        <v>2.22</v>
      </c>
      <c r="K10" s="66" t="n">
        <v>0.6521</v>
      </c>
    </row>
    <row r="11" customFormat="false" ht="15" hidden="false" customHeight="false" outlineLevel="0" collapsed="false">
      <c r="B11" s="5" t="s">
        <v>224</v>
      </c>
      <c r="C11" s="5" t="s">
        <v>225</v>
      </c>
      <c r="D11" s="5" t="s">
        <v>226</v>
      </c>
      <c r="E11" s="63" t="n">
        <v>18.2</v>
      </c>
      <c r="F11" s="63" t="n">
        <v>32.8</v>
      </c>
      <c r="G11" s="63" t="n">
        <v>19.16</v>
      </c>
      <c r="H11" s="63" t="n">
        <v>42.43</v>
      </c>
      <c r="I11" s="64" t="n">
        <v>1671.82</v>
      </c>
      <c r="J11" s="65" t="n">
        <v>1.48</v>
      </c>
      <c r="K11" s="66" t="n">
        <v>0.4857</v>
      </c>
    </row>
    <row r="12" customFormat="false" ht="15" hidden="false" customHeight="false" outlineLevel="0" collapsed="false">
      <c r="B12" s="5" t="s">
        <v>227</v>
      </c>
      <c r="C12" s="5" t="s">
        <v>228</v>
      </c>
      <c r="D12" s="5" t="s">
        <v>229</v>
      </c>
      <c r="E12" s="63" t="n">
        <v>38.24</v>
      </c>
      <c r="F12" s="63" t="n">
        <v>103.25</v>
      </c>
      <c r="G12" s="63" t="n">
        <v>23.79</v>
      </c>
      <c r="H12" s="63" t="n">
        <v>117.97</v>
      </c>
      <c r="I12" s="64" t="n">
        <v>991.33</v>
      </c>
      <c r="J12" s="65" t="n">
        <v>2.45</v>
      </c>
      <c r="K12" s="66" t="n">
        <v>0.1571</v>
      </c>
    </row>
    <row r="14" customFormat="false" ht="15" hidden="false" customHeight="false" outlineLevel="0" collapsed="false">
      <c r="B14" s="5" t="s">
        <v>316</v>
      </c>
      <c r="E14" s="50" t="n">
        <f aca="false">MAX(E7:E12)</f>
        <v>38.24</v>
      </c>
      <c r="F14" s="50" t="n">
        <f aca="false">MAX(F7:F12)</f>
        <v>103.25</v>
      </c>
      <c r="G14" s="50" t="n">
        <f aca="false">MAX(G7:G12)</f>
        <v>23.79</v>
      </c>
      <c r="H14" s="50" t="n">
        <f aca="false">MAX(H7:H12)</f>
        <v>117.97</v>
      </c>
    </row>
    <row r="15" customFormat="false" ht="15" hidden="false" customHeight="false" outlineLevel="0" collapsed="false">
      <c r="B15" s="5" t="s">
        <v>317</v>
      </c>
      <c r="E15" s="50" t="n">
        <f aca="false">QUARTILE(E7:E12,3)</f>
        <v>17.71</v>
      </c>
      <c r="F15" s="50" t="n">
        <f aca="false">QUARTILE(F7:F12,3)</f>
        <v>43.645</v>
      </c>
      <c r="G15" s="50" t="n">
        <f aca="false">QUARTILE(G7:G12,3)</f>
        <v>18.9</v>
      </c>
      <c r="H15" s="50" t="n">
        <f aca="false">QUARTILE(H7:H12,3)</f>
        <v>62.4725</v>
      </c>
    </row>
    <row r="16" customFormat="false" ht="15" hidden="false" customHeight="false" outlineLevel="0" collapsed="false">
      <c r="B16" s="2" t="s">
        <v>230</v>
      </c>
      <c r="E16" s="67" t="n">
        <f aca="false">MEDIAN(E7:E12)</f>
        <v>15.43</v>
      </c>
      <c r="F16" s="67" t="n">
        <f aca="false">MEDIAN(F7:F12)</f>
        <v>32.77</v>
      </c>
      <c r="G16" s="67" t="n">
        <f aca="false">MEDIAN(G7:G12)</f>
        <v>17.785</v>
      </c>
      <c r="H16" s="67" t="n">
        <f aca="false">MEDIAN(H7:H12)</f>
        <v>45.07</v>
      </c>
    </row>
    <row r="17" customFormat="false" ht="15" hidden="false" customHeight="false" outlineLevel="0" collapsed="false">
      <c r="B17" s="5" t="s">
        <v>318</v>
      </c>
      <c r="E17" s="50" t="n">
        <f aca="false">QUARTILE(E7:E12,1)</f>
        <v>14.005</v>
      </c>
      <c r="F17" s="50" t="n">
        <f aca="false">QUARTILE(F7:F12,1)</f>
        <v>28.645</v>
      </c>
      <c r="G17" s="50" t="n">
        <f aca="false">QUARTILE(G7:G12,1)</f>
        <v>13.805</v>
      </c>
      <c r="H17" s="50" t="n">
        <f aca="false">QUARTILE(H7:H12,1)</f>
        <v>42.75</v>
      </c>
    </row>
    <row r="18" customFormat="false" ht="15" hidden="false" customHeight="false" outlineLevel="0" collapsed="false">
      <c r="B18" s="5" t="s">
        <v>319</v>
      </c>
      <c r="E18" s="50" t="n">
        <f aca="false">MIN(E7:E12)</f>
        <v>6.69</v>
      </c>
      <c r="F18" s="50" t="n">
        <f aca="false">MIN(F7:F12)</f>
        <v>19.9</v>
      </c>
      <c r="G18" s="50" t="n">
        <f aca="false">MIN(G7:G12)</f>
        <v>12.4</v>
      </c>
      <c r="H18" s="50" t="n">
        <f aca="false">MIN(H7:H12)</f>
        <v>22.25</v>
      </c>
    </row>
    <row r="20" customFormat="false" ht="15" hidden="false" customHeight="false" outlineLevel="0" collapsed="false">
      <c r="B20" s="68" t="s">
        <v>320</v>
      </c>
      <c r="C20" s="69" t="s">
        <v>22</v>
      </c>
      <c r="D20" s="69"/>
      <c r="E20" s="70" t="n">
        <v>5.15</v>
      </c>
      <c r="F20" s="70" t="n">
        <v>10.44</v>
      </c>
      <c r="G20" s="70" t="n">
        <v>8.58</v>
      </c>
      <c r="H20" s="70" t="n">
        <v>20.03</v>
      </c>
      <c r="I20" s="71" t="n">
        <v>1180.81</v>
      </c>
      <c r="J20" s="72" t="n">
        <v>2.23</v>
      </c>
      <c r="K20" s="73" t="n">
        <v>0.7501</v>
      </c>
    </row>
    <row r="22" customFormat="false" ht="15" hidden="false" customHeight="false" outlineLevel="0" collapsed="false">
      <c r="B22" s="8" t="s">
        <v>321</v>
      </c>
      <c r="C22" s="9"/>
      <c r="D22" s="9"/>
      <c r="E22" s="9"/>
      <c r="F22" s="9"/>
      <c r="G22" s="9"/>
      <c r="H22" s="9"/>
      <c r="I22" s="9"/>
      <c r="J22" s="9"/>
      <c r="K22" s="9"/>
    </row>
    <row r="23" customFormat="false" ht="15" hidden="false" customHeight="false" outlineLevel="0" collapsed="false">
      <c r="B23" s="5" t="s">
        <v>322</v>
      </c>
      <c r="G23" s="25" t="n">
        <f aca="false">'Historical Financials'!H14+'Historical Financials'!H23</f>
        <v>108843</v>
      </c>
    </row>
    <row r="24" customFormat="false" ht="15" hidden="false" customHeight="false" outlineLevel="0" collapsed="false">
      <c r="B24" s="5" t="s">
        <v>323</v>
      </c>
      <c r="G24" s="49" t="n">
        <f aca="false">Assumptions!D8/E20</f>
        <v>203.019417475728</v>
      </c>
      <c r="L24" s="7" t="s">
        <v>324</v>
      </c>
    </row>
    <row r="25" customFormat="false" ht="15" hidden="false" customHeight="false" outlineLevel="0" collapsed="false">
      <c r="B25" s="5" t="s">
        <v>325</v>
      </c>
      <c r="G25" s="25" t="n">
        <f aca="false">'Historical Financials'!H7</f>
        <v>133188</v>
      </c>
    </row>
    <row r="26" customFormat="false" ht="15" hidden="false" customHeight="false" outlineLevel="0" collapsed="false">
      <c r="B26" s="5" t="s">
        <v>326</v>
      </c>
      <c r="G26" s="25" t="n">
        <f aca="false">Assumptions!D10-Assumptions!D11-Assumptions!D12</f>
        <v>55379</v>
      </c>
    </row>
    <row r="27" customFormat="false" ht="15" hidden="false" customHeight="false" outlineLevel="0" collapsed="false">
      <c r="B27" s="5" t="s">
        <v>327</v>
      </c>
      <c r="G27" s="49" t="n">
        <f aca="false">AVERAGE('Operating Model Output'!C13:G13)</f>
        <v>89.459090550474</v>
      </c>
      <c r="L27" s="7" t="s">
        <v>328</v>
      </c>
    </row>
    <row r="28" customFormat="false" ht="15" hidden="false" customHeight="false" outlineLevel="0" collapsed="false">
      <c r="B28" s="5" t="s">
        <v>329</v>
      </c>
      <c r="G28" s="49" t="n">
        <f aca="false">'Operating Model Output'!C19</f>
        <v>106.334008404534</v>
      </c>
    </row>
    <row r="30" customFormat="false" ht="15" hidden="false" customHeight="false" outlineLevel="0" collapsed="false">
      <c r="B30" s="8" t="s">
        <v>330</v>
      </c>
      <c r="C30" s="9"/>
      <c r="D30" s="9"/>
      <c r="E30" s="9"/>
      <c r="F30" s="9"/>
      <c r="G30" s="9"/>
      <c r="H30" s="9"/>
      <c r="I30" s="9"/>
      <c r="J30" s="9"/>
      <c r="K30" s="9"/>
    </row>
    <row r="31" customFormat="false" ht="28.35" hidden="false" customHeight="false" outlineLevel="0" collapsed="false">
      <c r="B31" s="17" t="s">
        <v>331</v>
      </c>
      <c r="C31" s="17"/>
      <c r="D31" s="17"/>
      <c r="E31" s="17" t="s">
        <v>332</v>
      </c>
      <c r="F31" s="17" t="s">
        <v>333</v>
      </c>
      <c r="G31" s="17" t="s">
        <v>334</v>
      </c>
      <c r="H31" s="17" t="s">
        <v>335</v>
      </c>
      <c r="I31" s="17"/>
      <c r="J31" s="17"/>
      <c r="K31" s="17"/>
    </row>
    <row r="32" customFormat="false" ht="15" hidden="false" customHeight="false" outlineLevel="0" collapsed="false">
      <c r="B32" s="5" t="s">
        <v>316</v>
      </c>
      <c r="E32" s="26" t="n">
        <f aca="false">E14*$G$24</f>
        <v>7763.46252427184</v>
      </c>
      <c r="F32" s="26" t="n">
        <f aca="false">(F14*$G$23+$G$26)/Assumptions!$D$9</f>
        <v>9846.04947689625</v>
      </c>
      <c r="G32" s="26" t="n">
        <f aca="false">(G14*$G$25+$G$26)/Assumptions!$D$9</f>
        <v>2810.74238884045</v>
      </c>
      <c r="H32" s="26" t="n">
        <f aca="false">E14*$G$27</f>
        <v>3420.91562265013</v>
      </c>
      <c r="L32" s="7" t="s">
        <v>336</v>
      </c>
    </row>
    <row r="33" customFormat="false" ht="15" hidden="false" customHeight="false" outlineLevel="0" collapsed="false">
      <c r="B33" s="5" t="s">
        <v>317</v>
      </c>
      <c r="E33" s="26" t="n">
        <f aca="false">E15*$G$24</f>
        <v>3595.47388349515</v>
      </c>
      <c r="F33" s="26" t="n">
        <f aca="false">(F15*$G$23+$G$26)/Assumptions!$D$9</f>
        <v>4189.91432868352</v>
      </c>
      <c r="G33" s="26" t="n">
        <f aca="false">(G15*$G$25+$G$26)/Assumptions!$D$9</f>
        <v>2242.92258064516</v>
      </c>
      <c r="H33" s="26" t="n">
        <f aca="false">E15*$G$27</f>
        <v>1584.3204936489</v>
      </c>
    </row>
    <row r="34" customFormat="false" ht="15" hidden="false" customHeight="false" outlineLevel="0" collapsed="false">
      <c r="B34" s="2" t="s">
        <v>230</v>
      </c>
      <c r="E34" s="34" t="n">
        <f aca="false">E16*$G$24</f>
        <v>3132.58961165049</v>
      </c>
      <c r="F34" s="34" t="n">
        <f aca="false">(F16*$G$23+$G$26)/Assumptions!$D$9</f>
        <v>3157.9460418483</v>
      </c>
      <c r="G34" s="34" t="n">
        <f aca="false">(G16*$G$25+$G$26)/Assumptions!$D$9</f>
        <v>2113.45037489102</v>
      </c>
      <c r="H34" s="34" t="n">
        <f aca="false">E16*$G$27</f>
        <v>1380.35376719381</v>
      </c>
    </row>
    <row r="35" customFormat="false" ht="15" hidden="false" customHeight="false" outlineLevel="0" collapsed="false">
      <c r="B35" s="5" t="s">
        <v>318</v>
      </c>
      <c r="E35" s="26" t="n">
        <f aca="false">E17*$G$24</f>
        <v>2843.28694174757</v>
      </c>
      <c r="F35" s="26" t="n">
        <f aca="false">(F17*$G$23+$G$26)/Assumptions!$D$9</f>
        <v>2766.5097951177</v>
      </c>
      <c r="G35" s="26" t="n">
        <f aca="false">(G17*$G$25+$G$26)/Assumptions!$D$9</f>
        <v>1651.29846556234</v>
      </c>
      <c r="H35" s="26" t="n">
        <f aca="false">E17*$G$27</f>
        <v>1252.87456315939</v>
      </c>
    </row>
    <row r="36" customFormat="false" ht="15" hidden="false" customHeight="false" outlineLevel="0" collapsed="false">
      <c r="B36" s="5" t="s">
        <v>319</v>
      </c>
      <c r="E36" s="26" t="n">
        <f aca="false">E18*$G$24</f>
        <v>1358.19990291262</v>
      </c>
      <c r="F36" s="26" t="n">
        <f aca="false">(F18*$G$23+$G$26)/Assumptions!$D$9</f>
        <v>1936.66495204882</v>
      </c>
      <c r="G36" s="26" t="n">
        <f aca="false">(G18*$G$25+$G$26)/Assumptions!$D$9</f>
        <v>1488.1518744551</v>
      </c>
      <c r="H36" s="26" t="n">
        <f aca="false">E18*$G$27</f>
        <v>598.481315782671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6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6" min="3" style="0" width="11"/>
    <col collapsed="false" customWidth="true" hidden="false" outlineLevel="0" max="7" min="7" style="0" width="2"/>
    <col collapsed="false" customWidth="true" hidden="false" outlineLevel="0" max="8" min="8" style="0" width="60"/>
  </cols>
  <sheetData>
    <row r="2" customFormat="false" ht="15" hidden="false" customHeight="false" outlineLevel="0" collapsed="false">
      <c r="B2" s="1" t="s">
        <v>337</v>
      </c>
    </row>
    <row r="3" customFormat="false" ht="15" hidden="false" customHeight="false" outlineLevel="0" collapsed="false">
      <c r="B3" s="7" t="s">
        <v>17</v>
      </c>
    </row>
    <row r="5" customFormat="false" ht="15" hidden="false" customHeight="false" outlineLevel="0" collapsed="false">
      <c r="B5" s="8" t="s">
        <v>338</v>
      </c>
      <c r="C5" s="9"/>
      <c r="D5" s="9"/>
      <c r="E5" s="9"/>
      <c r="F5" s="9"/>
    </row>
    <row r="6" customFormat="false" ht="15" hidden="false" customHeight="false" outlineLevel="0" collapsed="false">
      <c r="B6" s="5" t="s">
        <v>24</v>
      </c>
      <c r="F6" s="74" t="n">
        <f aca="false">Assumptions!D8</f>
        <v>1045.55</v>
      </c>
    </row>
    <row r="7" customFormat="false" ht="15" hidden="false" customHeight="false" outlineLevel="0" collapsed="false">
      <c r="B7" s="2" t="s">
        <v>339</v>
      </c>
      <c r="F7" s="74" t="n">
        <f aca="false">'OUT-DCF'!G30</f>
        <v>533.585599207464</v>
      </c>
    </row>
    <row r="8" customFormat="false" ht="15" hidden="false" customHeight="false" outlineLevel="0" collapsed="false">
      <c r="B8" s="2" t="s">
        <v>290</v>
      </c>
      <c r="F8" s="75" t="n">
        <f aca="false">F7/F6-1</f>
        <v>-0.489660370898127</v>
      </c>
    </row>
    <row r="9" customFormat="false" ht="15" hidden="false" customHeight="false" outlineLevel="0" collapsed="false">
      <c r="B9" s="5" t="s">
        <v>41</v>
      </c>
      <c r="F9" s="76" t="str">
        <f aca="false">Assumptions!D20</f>
        <v>Base</v>
      </c>
    </row>
    <row r="10" customFormat="false" ht="15" hidden="false" customHeight="false" outlineLevel="0" collapsed="false">
      <c r="B10" s="5" t="s">
        <v>340</v>
      </c>
      <c r="F10" s="77" t="n">
        <f aca="false">'Cost of Equity'!J28</f>
        <v>0.129783951871045</v>
      </c>
    </row>
    <row r="11" customFormat="false" ht="15" hidden="false" customHeight="false" outlineLevel="0" collapsed="false">
      <c r="B11" s="5" t="s">
        <v>341</v>
      </c>
      <c r="F11" s="78" t="n">
        <f aca="false">'DCF Sensitivity'!G36</f>
        <v>0.0999425783890621</v>
      </c>
    </row>
    <row r="12" customFormat="false" ht="15" hidden="false" customHeight="false" outlineLevel="0" collapsed="false">
      <c r="B12" s="5" t="s">
        <v>342</v>
      </c>
      <c r="F12" s="79" t="n">
        <f aca="false">'DCF Sensitivity'!G35</f>
        <v>3.57087527115664</v>
      </c>
    </row>
    <row r="14" customFormat="false" ht="15" hidden="false" customHeight="false" outlineLevel="0" collapsed="false">
      <c r="B14" s="8" t="s">
        <v>343</v>
      </c>
      <c r="C14" s="9"/>
      <c r="D14" s="9"/>
      <c r="E14" s="9"/>
      <c r="F14" s="9"/>
    </row>
    <row r="15" customFormat="false" ht="15" hidden="false" customHeight="false" outlineLevel="0" collapsed="false">
      <c r="B15" s="17" t="s">
        <v>344</v>
      </c>
      <c r="C15" s="17" t="s">
        <v>319</v>
      </c>
      <c r="D15" s="17" t="s">
        <v>316</v>
      </c>
      <c r="E15" s="17" t="s">
        <v>345</v>
      </c>
      <c r="F15" s="17" t="s">
        <v>346</v>
      </c>
    </row>
    <row r="16" customFormat="false" ht="15" hidden="false" customHeight="false" outlineLevel="0" collapsed="false">
      <c r="B16" s="5" t="s">
        <v>347</v>
      </c>
      <c r="C16" s="25" t="n">
        <f aca="false">MIN('Price History'!B5:B256)</f>
        <v>181.6</v>
      </c>
      <c r="D16" s="25" t="n">
        <f aca="false">MAX('Price History'!B5:B256)</f>
        <v>1213.56</v>
      </c>
      <c r="E16" s="26" t="n">
        <f aca="false">AVERAGE(C16:D16)</f>
        <v>697.58</v>
      </c>
      <c r="F16" s="26" t="n">
        <f aca="false">D16-C16</f>
        <v>1031.96</v>
      </c>
    </row>
    <row r="17" customFormat="false" ht="15" hidden="false" customHeight="false" outlineLevel="0" collapsed="false">
      <c r="B17" s="5" t="s">
        <v>348</v>
      </c>
      <c r="C17" s="25" t="n">
        <f aca="false">'Comps Valuation'!E35</f>
        <v>2843.28694174757</v>
      </c>
      <c r="D17" s="25" t="n">
        <f aca="false">'Comps Valuation'!E33</f>
        <v>3595.47388349515</v>
      </c>
      <c r="E17" s="26" t="n">
        <f aca="false">AVERAGE(C17:D17)</f>
        <v>3219.38041262136</v>
      </c>
      <c r="F17" s="26" t="n">
        <f aca="false">D17-C17</f>
        <v>752.186941747572</v>
      </c>
    </row>
    <row r="18" customFormat="false" ht="15" hidden="false" customHeight="false" outlineLevel="0" collapsed="false">
      <c r="B18" s="5" t="s">
        <v>349</v>
      </c>
      <c r="C18" s="25" t="n">
        <f aca="false">'Comps Valuation'!F35</f>
        <v>2766.5097951177</v>
      </c>
      <c r="D18" s="25" t="n">
        <f aca="false">'Comps Valuation'!F33</f>
        <v>4189.91432868352</v>
      </c>
      <c r="E18" s="26" t="n">
        <f aca="false">AVERAGE(C18:D18)</f>
        <v>3478.21206190061</v>
      </c>
      <c r="F18" s="26" t="n">
        <f aca="false">D18-C18</f>
        <v>1423.40453356582</v>
      </c>
    </row>
    <row r="19" customFormat="false" ht="15" hidden="false" customHeight="false" outlineLevel="0" collapsed="false">
      <c r="B19" s="5" t="s">
        <v>350</v>
      </c>
      <c r="C19" s="25" t="n">
        <f aca="false">'Comps Valuation'!H35</f>
        <v>1252.87456315939</v>
      </c>
      <c r="D19" s="25" t="n">
        <f aca="false">'Comps Valuation'!H33</f>
        <v>1584.3204936489</v>
      </c>
      <c r="E19" s="26" t="n">
        <f aca="false">AVERAGE(C19:D19)</f>
        <v>1418.59752840414</v>
      </c>
      <c r="F19" s="26" t="n">
        <f aca="false">D19-C19</f>
        <v>331.445930489506</v>
      </c>
    </row>
    <row r="20" customFormat="false" ht="15" hidden="false" customHeight="false" outlineLevel="0" collapsed="false">
      <c r="B20" s="5" t="s">
        <v>351</v>
      </c>
      <c r="C20" s="25" t="n">
        <f aca="false">MIN('DCF Sensitivity'!F10:H12)</f>
        <v>499.120390113438</v>
      </c>
      <c r="D20" s="25" t="n">
        <f aca="false">MAX('DCF Sensitivity'!F10:H12)</f>
        <v>577.379268327316</v>
      </c>
      <c r="E20" s="26" t="n">
        <f aca="false">AVERAGE(C20:D20)</f>
        <v>538.249829220377</v>
      </c>
      <c r="F20" s="26" t="n">
        <f aca="false">D20-C20</f>
        <v>78.2588782138784</v>
      </c>
    </row>
    <row r="21" customFormat="false" ht="15" hidden="false" customHeight="false" outlineLevel="0" collapsed="false">
      <c r="B21" s="5" t="s">
        <v>352</v>
      </c>
      <c r="C21" s="26" t="n">
        <f aca="false">C53</f>
        <v>260.048754549817</v>
      </c>
      <c r="D21" s="26" t="n">
        <f aca="false">E53</f>
        <v>937.605032205099</v>
      </c>
      <c r="E21" s="26" t="n">
        <f aca="false">AVERAGE(C21:D21)</f>
        <v>598.826893377458</v>
      </c>
      <c r="F21" s="26" t="n">
        <f aca="false">D21-C21</f>
        <v>677.556277655282</v>
      </c>
    </row>
    <row r="22" customFormat="false" ht="15" hidden="false" customHeight="false" outlineLevel="0" collapsed="false">
      <c r="B22" s="5" t="str">
        <f aca="false">"Current share price ("&amp;TEXT(Assumptions!D8,"$#,##0")&amp;")"</f>
        <v>Current share price ($1,046)</v>
      </c>
      <c r="C22" s="25" t="n">
        <f aca="false">Assumptions!D8-5</f>
        <v>1040.55</v>
      </c>
      <c r="D22" s="25" t="n">
        <f aca="false">Assumptions!D8+5</f>
        <v>1050.55</v>
      </c>
      <c r="E22" s="26" t="n">
        <f aca="false">AVERAGE(C22:D22)</f>
        <v>1045.55</v>
      </c>
      <c r="F22" s="26" t="n">
        <f aca="false">D22-C22</f>
        <v>10</v>
      </c>
    </row>
    <row r="43" customFormat="false" ht="15" hidden="false" customHeight="false" outlineLevel="0" collapsed="false">
      <c r="B43" s="8" t="s">
        <v>353</v>
      </c>
      <c r="C43" s="9"/>
      <c r="D43" s="9"/>
      <c r="E43" s="9"/>
      <c r="F43" s="9"/>
    </row>
    <row r="44" customFormat="false" ht="45.75" hidden="false" customHeight="true" outlineLevel="0" collapsed="false">
      <c r="B44" s="6" t="s">
        <v>354</v>
      </c>
      <c r="C44" s="6"/>
      <c r="D44" s="6"/>
      <c r="E44" s="6"/>
      <c r="F44" s="6"/>
    </row>
    <row r="45" customFormat="false" ht="45.75" hidden="false" customHeight="true" outlineLevel="0" collapsed="false">
      <c r="B45" s="6" t="s">
        <v>355</v>
      </c>
      <c r="C45" s="6"/>
      <c r="D45" s="6"/>
      <c r="E45" s="6"/>
      <c r="F45" s="6"/>
    </row>
    <row r="46" customFormat="false" ht="45.75" hidden="false" customHeight="true" outlineLevel="0" collapsed="false">
      <c r="B46" s="6" t="s">
        <v>356</v>
      </c>
      <c r="C46" s="6"/>
      <c r="D46" s="6"/>
      <c r="E46" s="6"/>
      <c r="F46" s="6"/>
    </row>
    <row r="47" customFormat="false" ht="45.75" hidden="false" customHeight="true" outlineLevel="0" collapsed="false">
      <c r="B47" s="6" t="s">
        <v>357</v>
      </c>
      <c r="C47" s="6"/>
      <c r="D47" s="6"/>
      <c r="E47" s="6"/>
      <c r="F47" s="6"/>
    </row>
    <row r="48" customFormat="false" ht="45.75" hidden="false" customHeight="true" outlineLevel="0" collapsed="false">
      <c r="B48" s="6" t="s">
        <v>358</v>
      </c>
      <c r="C48" s="6"/>
      <c r="D48" s="6"/>
      <c r="E48" s="6"/>
      <c r="F48" s="6"/>
    </row>
    <row r="51" customFormat="false" ht="15" hidden="false" customHeight="false" outlineLevel="0" collapsed="false">
      <c r="B51" s="8" t="s">
        <v>359</v>
      </c>
      <c r="C51" s="9"/>
      <c r="D51" s="9"/>
      <c r="E51" s="9"/>
      <c r="F51" s="9"/>
    </row>
    <row r="52" customFormat="false" ht="15" hidden="false" customHeight="false" outlineLevel="0" collapsed="false">
      <c r="B52" s="17" t="s">
        <v>360</v>
      </c>
      <c r="C52" s="17" t="s">
        <v>44</v>
      </c>
      <c r="D52" s="17" t="s">
        <v>43</v>
      </c>
      <c r="E52" s="17" t="s">
        <v>45</v>
      </c>
      <c r="F52" s="17"/>
    </row>
    <row r="53" customFormat="false" ht="15" hidden="false" customHeight="false" outlineLevel="0" collapsed="false">
      <c r="B53" s="5" t="s">
        <v>288</v>
      </c>
      <c r="C53" s="30" t="n">
        <v>260.048754549817</v>
      </c>
      <c r="D53" s="30" t="n">
        <v>533.585599207464</v>
      </c>
      <c r="E53" s="30" t="n">
        <v>937.605032205099</v>
      </c>
    </row>
    <row r="54" customFormat="false" ht="15" hidden="false" customHeight="false" outlineLevel="0" collapsed="false">
      <c r="B54" s="5" t="s">
        <v>290</v>
      </c>
      <c r="C54" s="80" t="n">
        <v>-0.751280422218146</v>
      </c>
      <c r="D54" s="80" t="n">
        <v>-0.489660370898127</v>
      </c>
      <c r="E54" s="80" t="n">
        <v>-0.103242281856344</v>
      </c>
    </row>
    <row r="55" customFormat="false" ht="15" hidden="false" customHeight="false" outlineLevel="0" collapsed="false">
      <c r="B55" s="5" t="s">
        <v>361</v>
      </c>
      <c r="C55" s="30" t="n">
        <v>194970.95</v>
      </c>
      <c r="D55" s="30" t="n">
        <v>241773.8</v>
      </c>
      <c r="E55" s="30" t="n">
        <v>285482.2</v>
      </c>
    </row>
    <row r="56" customFormat="false" ht="15" hidden="false" customHeight="false" outlineLevel="0" collapsed="false">
      <c r="B56" s="5" t="s">
        <v>362</v>
      </c>
      <c r="C56" s="30" t="n">
        <v>84830.6417765625</v>
      </c>
      <c r="D56" s="30" t="n">
        <v>158138.198235</v>
      </c>
      <c r="E56" s="30" t="n">
        <v>274713.811416</v>
      </c>
    </row>
    <row r="57" customFormat="false" ht="15" hidden="false" customHeight="false" outlineLevel="0" collapsed="false">
      <c r="B57" s="5" t="s">
        <v>363</v>
      </c>
      <c r="C57" s="66" t="n">
        <v>0.210598095511152</v>
      </c>
      <c r="D57" s="66" t="n">
        <v>0.397609436589076</v>
      </c>
      <c r="E57" s="66" t="n">
        <v>0.500277768631459</v>
      </c>
    </row>
    <row r="58" customFormat="false" ht="15" hidden="false" customHeight="false" outlineLevel="0" collapsed="false">
      <c r="B58" s="5" t="s">
        <v>364</v>
      </c>
      <c r="C58" s="35" t="n">
        <v>102.946366499564</v>
      </c>
      <c r="D58" s="35" t="n">
        <v>146.855677105493</v>
      </c>
      <c r="E58" s="35" t="n">
        <v>181.095565440279</v>
      </c>
    </row>
    <row r="59" customFormat="false" ht="15" hidden="false" customHeight="false" outlineLevel="0" collapsed="false">
      <c r="B59" s="5" t="s">
        <v>365</v>
      </c>
      <c r="C59" s="35" t="n">
        <v>12.7719622591882</v>
      </c>
      <c r="D59" s="35" t="n">
        <v>46.5960365456979</v>
      </c>
      <c r="E59" s="35" t="n">
        <v>103.044954511943</v>
      </c>
    </row>
    <row r="60" customFormat="false" ht="15" hidden="false" customHeight="false" outlineLevel="0" collapsed="false">
      <c r="B60" s="5" t="s">
        <v>366</v>
      </c>
      <c r="C60" s="66" t="n">
        <v>0.251822722816231</v>
      </c>
      <c r="D60" s="66" t="n">
        <v>0.410340978973458</v>
      </c>
      <c r="E60" s="66" t="n">
        <v>0.514977752792809</v>
      </c>
    </row>
    <row r="62" customFormat="false" ht="15" hidden="false" customHeight="false" outlineLevel="0" collapsed="false">
      <c r="B62" s="7" t="s">
        <v>367</v>
      </c>
    </row>
  </sheetData>
  <mergeCells count="5">
    <mergeCell ref="B44:F44"/>
    <mergeCell ref="B45:F45"/>
    <mergeCell ref="B46:F46"/>
    <mergeCell ref="B47:F47"/>
    <mergeCell ref="B48:F4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</cols>
  <sheetData>
    <row r="1" customFormat="false" ht="15" hidden="false" customHeight="false" outlineLevel="0" collapsed="false">
      <c r="A1" s="2" t="s">
        <v>368</v>
      </c>
    </row>
    <row r="4" customFormat="false" ht="15" hidden="false" customHeight="false" outlineLevel="0" collapsed="false">
      <c r="A4" s="2" t="s">
        <v>369</v>
      </c>
      <c r="B4" s="2" t="s">
        <v>370</v>
      </c>
    </row>
    <row r="5" customFormat="false" ht="15" hidden="false" customHeight="false" outlineLevel="0" collapsed="false">
      <c r="A5" s="81" t="n">
        <v>46296</v>
      </c>
      <c r="B5" s="65" t="n">
        <v>1045.55</v>
      </c>
    </row>
    <row r="6" customFormat="false" ht="15" hidden="false" customHeight="false" outlineLevel="0" collapsed="false">
      <c r="A6" s="81" t="n">
        <v>46295</v>
      </c>
      <c r="B6" s="65" t="n">
        <v>1065.11</v>
      </c>
    </row>
    <row r="7" customFormat="false" ht="15" hidden="false" customHeight="false" outlineLevel="0" collapsed="false">
      <c r="A7" s="81" t="n">
        <v>46294</v>
      </c>
      <c r="B7" s="65" t="n">
        <v>1065.08</v>
      </c>
    </row>
    <row r="8" customFormat="false" ht="15" hidden="false" customHeight="false" outlineLevel="0" collapsed="false">
      <c r="A8" s="81" t="n">
        <v>46293</v>
      </c>
      <c r="B8" s="65" t="n">
        <v>1053.98</v>
      </c>
    </row>
    <row r="9" customFormat="false" ht="15" hidden="false" customHeight="false" outlineLevel="0" collapsed="false">
      <c r="A9" s="81" t="n">
        <v>46290</v>
      </c>
      <c r="B9" s="65" t="n">
        <v>1082.28</v>
      </c>
    </row>
    <row r="10" customFormat="false" ht="15" hidden="false" customHeight="false" outlineLevel="0" collapsed="false">
      <c r="A10" s="81" t="n">
        <v>46289</v>
      </c>
      <c r="B10" s="65" t="n">
        <v>1080.53</v>
      </c>
    </row>
    <row r="11" customFormat="false" ht="15" hidden="false" customHeight="false" outlineLevel="0" collapsed="false">
      <c r="A11" s="81" t="n">
        <v>46288</v>
      </c>
      <c r="B11" s="65" t="n">
        <v>1071.88</v>
      </c>
    </row>
    <row r="12" customFormat="false" ht="15" hidden="false" customHeight="false" outlineLevel="0" collapsed="false">
      <c r="A12" s="81" t="n">
        <v>46287</v>
      </c>
      <c r="B12" s="65" t="n">
        <v>1096.16</v>
      </c>
    </row>
    <row r="13" customFormat="false" ht="15" hidden="false" customHeight="false" outlineLevel="0" collapsed="false">
      <c r="A13" s="81" t="n">
        <v>46286</v>
      </c>
      <c r="B13" s="65" t="n">
        <v>1043.96</v>
      </c>
    </row>
    <row r="14" customFormat="false" ht="15" hidden="false" customHeight="false" outlineLevel="0" collapsed="false">
      <c r="A14" s="81" t="n">
        <v>46283</v>
      </c>
      <c r="B14" s="65" t="n">
        <v>1015.8</v>
      </c>
    </row>
    <row r="15" customFormat="false" ht="15" hidden="false" customHeight="false" outlineLevel="0" collapsed="false">
      <c r="A15" s="81" t="n">
        <v>46282</v>
      </c>
      <c r="B15" s="65" t="n">
        <v>977.5</v>
      </c>
    </row>
    <row r="16" customFormat="false" ht="15" hidden="false" customHeight="false" outlineLevel="0" collapsed="false">
      <c r="A16" s="81" t="n">
        <v>46281</v>
      </c>
      <c r="B16" s="65" t="n">
        <v>926.55</v>
      </c>
    </row>
    <row r="17" customFormat="false" ht="15" hidden="false" customHeight="false" outlineLevel="0" collapsed="false">
      <c r="A17" s="81" t="n">
        <v>46280</v>
      </c>
      <c r="B17" s="65" t="n">
        <v>927.6</v>
      </c>
    </row>
    <row r="18" customFormat="false" ht="15" hidden="false" customHeight="false" outlineLevel="0" collapsed="false">
      <c r="A18" s="81" t="n">
        <v>46279</v>
      </c>
      <c r="B18" s="65" t="n">
        <v>924.03</v>
      </c>
    </row>
    <row r="19" customFormat="false" ht="15" hidden="false" customHeight="false" outlineLevel="0" collapsed="false">
      <c r="A19" s="81" t="n">
        <v>46276</v>
      </c>
      <c r="B19" s="65" t="n">
        <v>975.26</v>
      </c>
    </row>
    <row r="20" customFormat="false" ht="15" hidden="false" customHeight="false" outlineLevel="0" collapsed="false">
      <c r="A20" s="81" t="n">
        <v>46275</v>
      </c>
      <c r="B20" s="65" t="n">
        <v>977.41</v>
      </c>
    </row>
    <row r="21" customFormat="false" ht="15" hidden="false" customHeight="false" outlineLevel="0" collapsed="false">
      <c r="A21" s="81" t="n">
        <v>46274</v>
      </c>
      <c r="B21" s="65" t="n">
        <v>1027.77</v>
      </c>
    </row>
    <row r="22" customFormat="false" ht="15" hidden="false" customHeight="false" outlineLevel="0" collapsed="false">
      <c r="A22" s="81" t="n">
        <v>46273</v>
      </c>
      <c r="B22" s="65" t="n">
        <v>1000.26</v>
      </c>
    </row>
    <row r="23" customFormat="false" ht="15" hidden="false" customHeight="false" outlineLevel="0" collapsed="false">
      <c r="A23" s="81" t="n">
        <v>46269</v>
      </c>
      <c r="B23" s="65" t="n">
        <v>1016.59</v>
      </c>
    </row>
    <row r="24" customFormat="false" ht="15" hidden="false" customHeight="false" outlineLevel="0" collapsed="false">
      <c r="A24" s="81" t="n">
        <v>46268</v>
      </c>
      <c r="B24" s="65" t="n">
        <v>958.16</v>
      </c>
    </row>
    <row r="25" customFormat="false" ht="15" hidden="false" customHeight="false" outlineLevel="0" collapsed="false">
      <c r="A25" s="81" t="n">
        <v>46267</v>
      </c>
      <c r="B25" s="65" t="n">
        <v>956.08</v>
      </c>
    </row>
    <row r="26" customFormat="false" ht="15" hidden="false" customHeight="false" outlineLevel="0" collapsed="false">
      <c r="A26" s="81" t="n">
        <v>46266</v>
      </c>
      <c r="B26" s="65" t="n">
        <v>933.44</v>
      </c>
    </row>
    <row r="27" customFormat="false" ht="15" hidden="false" customHeight="false" outlineLevel="0" collapsed="false">
      <c r="A27" s="81" t="n">
        <v>46265</v>
      </c>
      <c r="B27" s="65" t="n">
        <v>958.73</v>
      </c>
    </row>
    <row r="28" customFormat="false" ht="15" hidden="false" customHeight="false" outlineLevel="0" collapsed="false">
      <c r="A28" s="81" t="n">
        <v>46262</v>
      </c>
      <c r="B28" s="65" t="n">
        <v>932.86</v>
      </c>
    </row>
    <row r="29" customFormat="false" ht="15" hidden="false" customHeight="false" outlineLevel="0" collapsed="false">
      <c r="A29" s="81" t="n">
        <v>46261</v>
      </c>
      <c r="B29" s="65" t="n">
        <v>935.39</v>
      </c>
    </row>
    <row r="30" customFormat="false" ht="15" hidden="false" customHeight="false" outlineLevel="0" collapsed="false">
      <c r="A30" s="81" t="n">
        <v>46260</v>
      </c>
      <c r="B30" s="65" t="n">
        <v>938.4</v>
      </c>
    </row>
    <row r="31" customFormat="false" ht="15" hidden="false" customHeight="false" outlineLevel="0" collapsed="false">
      <c r="A31" s="81" t="n">
        <v>46259</v>
      </c>
      <c r="B31" s="65" t="n">
        <v>932.97</v>
      </c>
    </row>
    <row r="32" customFormat="false" ht="15" hidden="false" customHeight="false" outlineLevel="0" collapsed="false">
      <c r="A32" s="81" t="n">
        <v>46258</v>
      </c>
      <c r="B32" s="65" t="n">
        <v>910.43</v>
      </c>
    </row>
    <row r="33" customFormat="false" ht="15" hidden="false" customHeight="false" outlineLevel="0" collapsed="false">
      <c r="A33" s="81" t="n">
        <v>46255</v>
      </c>
      <c r="B33" s="65" t="n">
        <v>966.78</v>
      </c>
    </row>
    <row r="34" customFormat="false" ht="15" hidden="false" customHeight="false" outlineLevel="0" collapsed="false">
      <c r="A34" s="81" t="n">
        <v>46254</v>
      </c>
      <c r="B34" s="65" t="n">
        <v>974.33</v>
      </c>
    </row>
    <row r="35" customFormat="false" ht="15" hidden="false" customHeight="false" outlineLevel="0" collapsed="false">
      <c r="A35" s="81" t="n">
        <v>46253</v>
      </c>
      <c r="B35" s="65" t="n">
        <v>937.11</v>
      </c>
    </row>
    <row r="36" customFormat="false" ht="15" hidden="false" customHeight="false" outlineLevel="0" collapsed="false">
      <c r="A36" s="81" t="n">
        <v>46252</v>
      </c>
      <c r="B36" s="65" t="n">
        <v>940.76</v>
      </c>
    </row>
    <row r="37" customFormat="false" ht="15" hidden="false" customHeight="false" outlineLevel="0" collapsed="false">
      <c r="A37" s="81" t="n">
        <v>46251</v>
      </c>
      <c r="B37" s="65" t="n">
        <v>1011.75</v>
      </c>
    </row>
    <row r="38" customFormat="false" ht="15" hidden="false" customHeight="false" outlineLevel="0" collapsed="false">
      <c r="A38" s="81" t="n">
        <v>46248</v>
      </c>
      <c r="B38" s="65" t="n">
        <v>971.66</v>
      </c>
    </row>
    <row r="39" customFormat="false" ht="15" hidden="false" customHeight="false" outlineLevel="0" collapsed="false">
      <c r="A39" s="81" t="n">
        <v>46247</v>
      </c>
      <c r="B39" s="65" t="n">
        <v>949.83</v>
      </c>
    </row>
    <row r="40" customFormat="false" ht="15" hidden="false" customHeight="false" outlineLevel="0" collapsed="false">
      <c r="A40" s="81" t="n">
        <v>46246</v>
      </c>
      <c r="B40" s="65" t="n">
        <v>911.29</v>
      </c>
    </row>
    <row r="41" customFormat="false" ht="15" hidden="false" customHeight="false" outlineLevel="0" collapsed="false">
      <c r="A41" s="81" t="n">
        <v>46245</v>
      </c>
      <c r="B41" s="65" t="n">
        <v>868.52</v>
      </c>
    </row>
    <row r="42" customFormat="false" ht="15" hidden="false" customHeight="false" outlineLevel="0" collapsed="false">
      <c r="A42" s="81" t="n">
        <v>46244</v>
      </c>
      <c r="B42" s="65" t="n">
        <v>861</v>
      </c>
    </row>
    <row r="43" customFormat="false" ht="15" hidden="false" customHeight="false" outlineLevel="0" collapsed="false">
      <c r="A43" s="81" t="n">
        <v>46241</v>
      </c>
      <c r="B43" s="65" t="n">
        <v>877.57</v>
      </c>
    </row>
    <row r="44" customFormat="false" ht="15" hidden="false" customHeight="false" outlineLevel="0" collapsed="false">
      <c r="A44" s="81" t="n">
        <v>46240</v>
      </c>
      <c r="B44" s="65" t="n">
        <v>881.47</v>
      </c>
    </row>
    <row r="45" customFormat="false" ht="15" hidden="false" customHeight="false" outlineLevel="0" collapsed="false">
      <c r="A45" s="81" t="n">
        <v>46239</v>
      </c>
      <c r="B45" s="65" t="n">
        <v>893.19</v>
      </c>
    </row>
    <row r="46" customFormat="false" ht="15" hidden="false" customHeight="false" outlineLevel="0" collapsed="false">
      <c r="A46" s="81" t="n">
        <v>46238</v>
      </c>
      <c r="B46" s="65" t="n">
        <v>892.67</v>
      </c>
    </row>
    <row r="47" customFormat="false" ht="15" hidden="false" customHeight="false" outlineLevel="0" collapsed="false">
      <c r="A47" s="81" t="n">
        <v>46237</v>
      </c>
      <c r="B47" s="65" t="n">
        <v>829.5</v>
      </c>
    </row>
    <row r="48" customFormat="false" ht="15" hidden="false" customHeight="false" outlineLevel="0" collapsed="false">
      <c r="A48" s="81" t="n">
        <v>46234</v>
      </c>
      <c r="B48" s="65" t="n">
        <v>823.03</v>
      </c>
    </row>
    <row r="49" customFormat="false" ht="15" hidden="false" customHeight="false" outlineLevel="0" collapsed="false">
      <c r="A49" s="81" t="n">
        <v>46233</v>
      </c>
      <c r="B49" s="65" t="n">
        <v>874.66</v>
      </c>
    </row>
    <row r="50" customFormat="false" ht="15" hidden="false" customHeight="false" outlineLevel="0" collapsed="false">
      <c r="A50" s="81" t="n">
        <v>46232</v>
      </c>
      <c r="B50" s="65" t="n">
        <v>739</v>
      </c>
    </row>
    <row r="51" customFormat="false" ht="15" hidden="false" customHeight="false" outlineLevel="0" collapsed="false">
      <c r="A51" s="81" t="n">
        <v>46231</v>
      </c>
      <c r="B51" s="65" t="n">
        <v>820.53</v>
      </c>
    </row>
    <row r="52" customFormat="false" ht="15" hidden="false" customHeight="false" outlineLevel="0" collapsed="false">
      <c r="A52" s="81" t="n">
        <v>46230</v>
      </c>
      <c r="B52" s="65" t="n">
        <v>900.2</v>
      </c>
    </row>
    <row r="53" customFormat="false" ht="15" hidden="false" customHeight="false" outlineLevel="0" collapsed="false">
      <c r="A53" s="81" t="n">
        <v>46227</v>
      </c>
      <c r="B53" s="65" t="n">
        <v>920.95</v>
      </c>
    </row>
    <row r="54" customFormat="false" ht="15" hidden="false" customHeight="false" outlineLevel="0" collapsed="false">
      <c r="A54" s="81" t="n">
        <v>46226</v>
      </c>
      <c r="B54" s="65" t="n">
        <v>990.21</v>
      </c>
    </row>
    <row r="55" customFormat="false" ht="15" hidden="false" customHeight="false" outlineLevel="0" collapsed="false">
      <c r="A55" s="81" t="n">
        <v>46225</v>
      </c>
      <c r="B55" s="65" t="n">
        <v>959.48</v>
      </c>
    </row>
    <row r="56" customFormat="false" ht="15" hidden="false" customHeight="false" outlineLevel="0" collapsed="false">
      <c r="A56" s="81" t="n">
        <v>46224</v>
      </c>
      <c r="B56" s="65" t="n">
        <v>970.82</v>
      </c>
    </row>
    <row r="57" customFormat="false" ht="15" hidden="false" customHeight="false" outlineLevel="0" collapsed="false">
      <c r="A57" s="81" t="n">
        <v>46223</v>
      </c>
      <c r="B57" s="65" t="n">
        <v>865.46</v>
      </c>
    </row>
    <row r="58" customFormat="false" ht="15" hidden="false" customHeight="false" outlineLevel="0" collapsed="false">
      <c r="A58" s="81" t="n">
        <v>46220</v>
      </c>
      <c r="B58" s="65" t="n">
        <v>848.95</v>
      </c>
    </row>
    <row r="59" customFormat="false" ht="15" hidden="false" customHeight="false" outlineLevel="0" collapsed="false">
      <c r="A59" s="81" t="n">
        <v>46219</v>
      </c>
      <c r="B59" s="65" t="n">
        <v>853.2</v>
      </c>
    </row>
    <row r="60" customFormat="false" ht="15" hidden="false" customHeight="false" outlineLevel="0" collapsed="false">
      <c r="A60" s="81" t="n">
        <v>46218</v>
      </c>
      <c r="B60" s="65" t="n">
        <v>904.28</v>
      </c>
    </row>
    <row r="61" customFormat="false" ht="15" hidden="false" customHeight="false" outlineLevel="0" collapsed="false">
      <c r="A61" s="81" t="n">
        <v>46217</v>
      </c>
      <c r="B61" s="65" t="n">
        <v>983.12</v>
      </c>
    </row>
    <row r="62" customFormat="false" ht="15" hidden="false" customHeight="false" outlineLevel="0" collapsed="false">
      <c r="A62" s="81" t="n">
        <v>46216</v>
      </c>
      <c r="B62" s="65" t="n">
        <v>937</v>
      </c>
    </row>
    <row r="63" customFormat="false" ht="15" hidden="false" customHeight="false" outlineLevel="0" collapsed="false">
      <c r="A63" s="81" t="n">
        <v>46213</v>
      </c>
      <c r="B63" s="65" t="n">
        <v>979.3</v>
      </c>
    </row>
    <row r="64" customFormat="false" ht="15" hidden="false" customHeight="false" outlineLevel="0" collapsed="false">
      <c r="A64" s="81" t="n">
        <v>46212</v>
      </c>
      <c r="B64" s="65" t="n">
        <v>991.64</v>
      </c>
    </row>
    <row r="65" customFormat="false" ht="15" hidden="false" customHeight="false" outlineLevel="0" collapsed="false">
      <c r="A65" s="81" t="n">
        <v>46211</v>
      </c>
      <c r="B65" s="65" t="n">
        <v>948.8</v>
      </c>
    </row>
    <row r="66" customFormat="false" ht="15" hidden="false" customHeight="false" outlineLevel="0" collapsed="false">
      <c r="A66" s="81" t="n">
        <v>46210</v>
      </c>
      <c r="B66" s="65" t="n">
        <v>938.38</v>
      </c>
    </row>
    <row r="67" customFormat="false" ht="15" hidden="false" customHeight="false" outlineLevel="0" collapsed="false">
      <c r="A67" s="81" t="n">
        <v>46209</v>
      </c>
      <c r="B67" s="65" t="n">
        <v>984.75</v>
      </c>
    </row>
    <row r="68" customFormat="false" ht="15" hidden="false" customHeight="false" outlineLevel="0" collapsed="false">
      <c r="A68" s="81" t="n">
        <v>46205</v>
      </c>
      <c r="B68" s="65" t="n">
        <v>975.56</v>
      </c>
    </row>
    <row r="69" customFormat="false" ht="15" hidden="false" customHeight="false" outlineLevel="0" collapsed="false">
      <c r="A69" s="81" t="n">
        <v>46204</v>
      </c>
      <c r="B69" s="65" t="n">
        <v>1032.28</v>
      </c>
    </row>
    <row r="70" customFormat="false" ht="15" hidden="false" customHeight="false" outlineLevel="0" collapsed="false">
      <c r="A70" s="81" t="n">
        <v>46203</v>
      </c>
      <c r="B70" s="65" t="n">
        <v>1154.29</v>
      </c>
    </row>
    <row r="71" customFormat="false" ht="15" hidden="false" customHeight="false" outlineLevel="0" collapsed="false">
      <c r="A71" s="81" t="n">
        <v>46202</v>
      </c>
      <c r="B71" s="65" t="n">
        <v>1145.28</v>
      </c>
    </row>
    <row r="72" customFormat="false" ht="15" hidden="false" customHeight="false" outlineLevel="0" collapsed="false">
      <c r="A72" s="81" t="n">
        <v>46199</v>
      </c>
      <c r="B72" s="65" t="n">
        <v>1132.33</v>
      </c>
    </row>
    <row r="73" customFormat="false" ht="15" hidden="false" customHeight="false" outlineLevel="0" collapsed="false">
      <c r="A73" s="81" t="n">
        <v>46198</v>
      </c>
      <c r="B73" s="65" t="n">
        <v>1213.56</v>
      </c>
    </row>
    <row r="74" customFormat="false" ht="15" hidden="false" customHeight="false" outlineLevel="0" collapsed="false">
      <c r="A74" s="81" t="n">
        <v>46197</v>
      </c>
      <c r="B74" s="65" t="n">
        <v>1048.51</v>
      </c>
    </row>
    <row r="75" customFormat="false" ht="15" hidden="false" customHeight="false" outlineLevel="0" collapsed="false">
      <c r="A75" s="81" t="n">
        <v>46196</v>
      </c>
      <c r="B75" s="65" t="n">
        <v>1051.77</v>
      </c>
    </row>
    <row r="76" customFormat="false" ht="15" hidden="false" customHeight="false" outlineLevel="0" collapsed="false">
      <c r="A76" s="81" t="n">
        <v>46195</v>
      </c>
      <c r="B76" s="65" t="n">
        <v>1211.38</v>
      </c>
    </row>
    <row r="77" customFormat="false" ht="15" hidden="false" customHeight="false" outlineLevel="0" collapsed="false">
      <c r="A77" s="81" t="n">
        <v>46191</v>
      </c>
      <c r="B77" s="65" t="n">
        <v>1133.99</v>
      </c>
    </row>
    <row r="78" customFormat="false" ht="15" hidden="false" customHeight="false" outlineLevel="0" collapsed="false">
      <c r="A78" s="81" t="n">
        <v>46190</v>
      </c>
      <c r="B78" s="65" t="n">
        <v>1043.19</v>
      </c>
    </row>
    <row r="79" customFormat="false" ht="15" hidden="false" customHeight="false" outlineLevel="0" collapsed="false">
      <c r="A79" s="81" t="n">
        <v>46189</v>
      </c>
      <c r="B79" s="65" t="n">
        <v>1020.76</v>
      </c>
    </row>
    <row r="80" customFormat="false" ht="15" hidden="false" customHeight="false" outlineLevel="0" collapsed="false">
      <c r="A80" s="81" t="n">
        <v>46188</v>
      </c>
      <c r="B80" s="65" t="n">
        <v>1087.99</v>
      </c>
    </row>
    <row r="81" customFormat="false" ht="15" hidden="false" customHeight="false" outlineLevel="0" collapsed="false">
      <c r="A81" s="81" t="n">
        <v>46185</v>
      </c>
      <c r="B81" s="65" t="n">
        <v>981.61</v>
      </c>
    </row>
    <row r="82" customFormat="false" ht="15" hidden="false" customHeight="false" outlineLevel="0" collapsed="false">
      <c r="A82" s="81" t="n">
        <v>46184</v>
      </c>
      <c r="B82" s="65" t="n">
        <v>995.87</v>
      </c>
    </row>
    <row r="83" customFormat="false" ht="15" hidden="false" customHeight="false" outlineLevel="0" collapsed="false">
      <c r="A83" s="81" t="n">
        <v>46183</v>
      </c>
      <c r="B83" s="65" t="n">
        <v>891.88</v>
      </c>
    </row>
    <row r="84" customFormat="false" ht="15" hidden="false" customHeight="false" outlineLevel="0" collapsed="false">
      <c r="A84" s="81" t="n">
        <v>46182</v>
      </c>
      <c r="B84" s="65" t="n">
        <v>935.89</v>
      </c>
    </row>
    <row r="85" customFormat="false" ht="15" hidden="false" customHeight="false" outlineLevel="0" collapsed="false">
      <c r="A85" s="81" t="n">
        <v>46181</v>
      </c>
      <c r="B85" s="65" t="n">
        <v>949.28</v>
      </c>
    </row>
    <row r="86" customFormat="false" ht="15" hidden="false" customHeight="false" outlineLevel="0" collapsed="false">
      <c r="A86" s="81" t="n">
        <v>46178</v>
      </c>
      <c r="B86" s="65" t="n">
        <v>864.01</v>
      </c>
    </row>
    <row r="87" customFormat="false" ht="15" hidden="false" customHeight="false" outlineLevel="0" collapsed="false">
      <c r="A87" s="81" t="n">
        <v>46177</v>
      </c>
      <c r="B87" s="65" t="n">
        <v>996</v>
      </c>
    </row>
    <row r="88" customFormat="false" ht="15" hidden="false" customHeight="false" outlineLevel="0" collapsed="false">
      <c r="A88" s="81" t="n">
        <v>46176</v>
      </c>
      <c r="B88" s="65" t="n">
        <v>1079.57</v>
      </c>
    </row>
    <row r="89" customFormat="false" ht="15" hidden="false" customHeight="false" outlineLevel="0" collapsed="false">
      <c r="A89" s="81" t="n">
        <v>46175</v>
      </c>
      <c r="B89" s="65" t="n">
        <v>1064.1</v>
      </c>
    </row>
    <row r="90" customFormat="false" ht="15" hidden="false" customHeight="false" outlineLevel="0" collapsed="false">
      <c r="A90" s="81" t="n">
        <v>46174</v>
      </c>
      <c r="B90" s="65" t="n">
        <v>1035.5</v>
      </c>
    </row>
    <row r="91" customFormat="false" ht="15" hidden="false" customHeight="false" outlineLevel="0" collapsed="false">
      <c r="A91" s="81" t="n">
        <v>46171</v>
      </c>
      <c r="B91" s="65" t="n">
        <v>971</v>
      </c>
    </row>
    <row r="92" customFormat="false" ht="15" hidden="false" customHeight="false" outlineLevel="0" collapsed="false">
      <c r="A92" s="81" t="n">
        <v>46170</v>
      </c>
      <c r="B92" s="65" t="n">
        <v>923.52</v>
      </c>
    </row>
    <row r="93" customFormat="false" ht="15" hidden="false" customHeight="false" outlineLevel="0" collapsed="false">
      <c r="A93" s="81" t="n">
        <v>46169</v>
      </c>
      <c r="B93" s="65" t="n">
        <v>928.41</v>
      </c>
    </row>
    <row r="94" customFormat="false" ht="15" hidden="false" customHeight="false" outlineLevel="0" collapsed="false">
      <c r="A94" s="81" t="n">
        <v>46168</v>
      </c>
      <c r="B94" s="65" t="n">
        <v>895.88</v>
      </c>
    </row>
    <row r="95" customFormat="false" ht="15" hidden="false" customHeight="false" outlineLevel="0" collapsed="false">
      <c r="A95" s="81" t="n">
        <v>46164</v>
      </c>
      <c r="B95" s="65" t="n">
        <v>751</v>
      </c>
    </row>
    <row r="96" customFormat="false" ht="15" hidden="false" customHeight="false" outlineLevel="0" collapsed="false">
      <c r="A96" s="81" t="n">
        <v>46163</v>
      </c>
      <c r="B96" s="65" t="n">
        <v>762.1</v>
      </c>
    </row>
    <row r="97" customFormat="false" ht="15" hidden="false" customHeight="false" outlineLevel="0" collapsed="false">
      <c r="A97" s="81" t="n">
        <v>46162</v>
      </c>
      <c r="B97" s="65" t="n">
        <v>731.99</v>
      </c>
    </row>
    <row r="98" customFormat="false" ht="15" hidden="false" customHeight="false" outlineLevel="0" collapsed="false">
      <c r="A98" s="81" t="n">
        <v>46161</v>
      </c>
      <c r="B98" s="65" t="n">
        <v>698.74</v>
      </c>
    </row>
    <row r="99" customFormat="false" ht="15" hidden="false" customHeight="false" outlineLevel="0" collapsed="false">
      <c r="A99" s="81" t="n">
        <v>46160</v>
      </c>
      <c r="B99" s="65" t="n">
        <v>681.54</v>
      </c>
    </row>
    <row r="100" customFormat="false" ht="15" hidden="false" customHeight="false" outlineLevel="0" collapsed="false">
      <c r="A100" s="81" t="n">
        <v>46157</v>
      </c>
      <c r="B100" s="65" t="n">
        <v>724.66</v>
      </c>
    </row>
    <row r="101" customFormat="false" ht="15" hidden="false" customHeight="false" outlineLevel="0" collapsed="false">
      <c r="A101" s="81" t="n">
        <v>46156</v>
      </c>
      <c r="B101" s="65" t="n">
        <v>776.01</v>
      </c>
    </row>
    <row r="102" customFormat="false" ht="15" hidden="false" customHeight="false" outlineLevel="0" collapsed="false">
      <c r="A102" s="81" t="n">
        <v>46155</v>
      </c>
      <c r="B102" s="65" t="n">
        <v>803.63</v>
      </c>
    </row>
    <row r="103" customFormat="false" ht="15" hidden="false" customHeight="false" outlineLevel="0" collapsed="false">
      <c r="A103" s="81" t="n">
        <v>46154</v>
      </c>
      <c r="B103" s="65" t="n">
        <v>766.58</v>
      </c>
    </row>
    <row r="104" customFormat="false" ht="15" hidden="false" customHeight="false" outlineLevel="0" collapsed="false">
      <c r="A104" s="81" t="n">
        <v>46153</v>
      </c>
      <c r="B104" s="65" t="n">
        <v>795.33</v>
      </c>
    </row>
    <row r="105" customFormat="false" ht="15" hidden="false" customHeight="false" outlineLevel="0" collapsed="false">
      <c r="A105" s="81" t="n">
        <v>46150</v>
      </c>
      <c r="B105" s="65" t="n">
        <v>746.81</v>
      </c>
    </row>
    <row r="106" customFormat="false" ht="15" hidden="false" customHeight="false" outlineLevel="0" collapsed="false">
      <c r="A106" s="81" t="n">
        <v>46149</v>
      </c>
      <c r="B106" s="65" t="n">
        <v>646.63</v>
      </c>
    </row>
    <row r="107" customFormat="false" ht="15" hidden="false" customHeight="false" outlineLevel="0" collapsed="false">
      <c r="A107" s="81" t="n">
        <v>46148</v>
      </c>
      <c r="B107" s="65" t="n">
        <v>666.59</v>
      </c>
    </row>
    <row r="108" customFormat="false" ht="15" hidden="false" customHeight="false" outlineLevel="0" collapsed="false">
      <c r="A108" s="81" t="n">
        <v>46147</v>
      </c>
      <c r="B108" s="65" t="n">
        <v>640.2</v>
      </c>
    </row>
    <row r="109" customFormat="false" ht="15" hidden="false" customHeight="false" outlineLevel="0" collapsed="false">
      <c r="A109" s="81" t="n">
        <v>46146</v>
      </c>
      <c r="B109" s="65" t="n">
        <v>576.45</v>
      </c>
    </row>
    <row r="110" customFormat="false" ht="15" hidden="false" customHeight="false" outlineLevel="0" collapsed="false">
      <c r="A110" s="81" t="n">
        <v>46143</v>
      </c>
      <c r="B110" s="65" t="n">
        <v>542.21</v>
      </c>
    </row>
    <row r="111" customFormat="false" ht="15" hidden="false" customHeight="false" outlineLevel="0" collapsed="false">
      <c r="A111" s="81" t="n">
        <v>46142</v>
      </c>
      <c r="B111" s="65" t="n">
        <v>517.16</v>
      </c>
    </row>
    <row r="112" customFormat="false" ht="15" hidden="false" customHeight="false" outlineLevel="0" collapsed="false">
      <c r="A112" s="81" t="n">
        <v>46141</v>
      </c>
      <c r="B112" s="65" t="n">
        <v>518.46</v>
      </c>
    </row>
    <row r="113" customFormat="false" ht="15" hidden="false" customHeight="false" outlineLevel="0" collapsed="false">
      <c r="A113" s="81" t="n">
        <v>46140</v>
      </c>
      <c r="B113" s="65" t="n">
        <v>504.29</v>
      </c>
    </row>
    <row r="114" customFormat="false" ht="15" hidden="false" customHeight="false" outlineLevel="0" collapsed="false">
      <c r="A114" s="81" t="n">
        <v>46139</v>
      </c>
      <c r="B114" s="65" t="n">
        <v>524.56</v>
      </c>
    </row>
    <row r="115" customFormat="false" ht="15" hidden="false" customHeight="false" outlineLevel="0" collapsed="false">
      <c r="A115" s="81" t="n">
        <v>46136</v>
      </c>
      <c r="B115" s="65" t="n">
        <v>496.72</v>
      </c>
    </row>
    <row r="116" customFormat="false" ht="15" hidden="false" customHeight="false" outlineLevel="0" collapsed="false">
      <c r="A116" s="81" t="n">
        <v>46135</v>
      </c>
      <c r="B116" s="65" t="n">
        <v>481.72</v>
      </c>
    </row>
    <row r="117" customFormat="false" ht="15" hidden="false" customHeight="false" outlineLevel="0" collapsed="false">
      <c r="A117" s="81" t="n">
        <v>46134</v>
      </c>
      <c r="B117" s="65" t="n">
        <v>487.48</v>
      </c>
    </row>
    <row r="118" customFormat="false" ht="15" hidden="false" customHeight="false" outlineLevel="0" collapsed="false">
      <c r="A118" s="81" t="n">
        <v>46133</v>
      </c>
      <c r="B118" s="65" t="n">
        <v>449.38</v>
      </c>
    </row>
    <row r="119" customFormat="false" ht="15" hidden="false" customHeight="false" outlineLevel="0" collapsed="false">
      <c r="A119" s="81" t="n">
        <v>46132</v>
      </c>
      <c r="B119" s="65" t="n">
        <v>448.42</v>
      </c>
    </row>
    <row r="120" customFormat="false" ht="15" hidden="false" customHeight="false" outlineLevel="0" collapsed="false">
      <c r="A120" s="81" t="n">
        <v>46129</v>
      </c>
      <c r="B120" s="65" t="n">
        <v>455.07</v>
      </c>
    </row>
    <row r="121" customFormat="false" ht="15" hidden="false" customHeight="false" outlineLevel="0" collapsed="false">
      <c r="A121" s="81" t="n">
        <v>46128</v>
      </c>
      <c r="B121" s="65" t="n">
        <v>457.23</v>
      </c>
    </row>
    <row r="122" customFormat="false" ht="15" hidden="false" customHeight="false" outlineLevel="0" collapsed="false">
      <c r="A122" s="81" t="n">
        <v>46127</v>
      </c>
      <c r="B122" s="65" t="n">
        <v>456.23</v>
      </c>
    </row>
    <row r="123" customFormat="false" ht="15" hidden="false" customHeight="false" outlineLevel="0" collapsed="false">
      <c r="A123" s="81" t="n">
        <v>46126</v>
      </c>
      <c r="B123" s="65" t="n">
        <v>465.66</v>
      </c>
    </row>
    <row r="124" customFormat="false" ht="15" hidden="false" customHeight="false" outlineLevel="0" collapsed="false">
      <c r="A124" s="81" t="n">
        <v>46125</v>
      </c>
      <c r="B124" s="65" t="n">
        <v>426.56</v>
      </c>
    </row>
    <row r="125" customFormat="false" ht="15" hidden="false" customHeight="false" outlineLevel="0" collapsed="false">
      <c r="A125" s="81" t="n">
        <v>46122</v>
      </c>
      <c r="B125" s="65" t="n">
        <v>420.59</v>
      </c>
    </row>
    <row r="126" customFormat="false" ht="15" hidden="false" customHeight="false" outlineLevel="0" collapsed="false">
      <c r="A126" s="81" t="n">
        <v>46121</v>
      </c>
      <c r="B126" s="65" t="n">
        <v>421.51</v>
      </c>
    </row>
    <row r="127" customFormat="false" ht="15" hidden="false" customHeight="false" outlineLevel="0" collapsed="false">
      <c r="A127" s="81" t="n">
        <v>46120</v>
      </c>
      <c r="B127" s="65" t="n">
        <v>406.73</v>
      </c>
    </row>
    <row r="128" customFormat="false" ht="15" hidden="false" customHeight="false" outlineLevel="0" collapsed="false">
      <c r="A128" s="81" t="n">
        <v>46119</v>
      </c>
      <c r="B128" s="65" t="n">
        <v>377.58</v>
      </c>
    </row>
    <row r="129" customFormat="false" ht="15" hidden="false" customHeight="false" outlineLevel="0" collapsed="false">
      <c r="A129" s="81" t="n">
        <v>46118</v>
      </c>
      <c r="B129" s="65" t="n">
        <v>377.76</v>
      </c>
    </row>
    <row r="130" customFormat="false" ht="15" hidden="false" customHeight="false" outlineLevel="0" collapsed="false">
      <c r="A130" s="81" t="n">
        <v>46114</v>
      </c>
      <c r="B130" s="65" t="n">
        <v>366.24</v>
      </c>
    </row>
    <row r="131" customFormat="false" ht="15" hidden="false" customHeight="false" outlineLevel="0" collapsed="false">
      <c r="A131" s="81" t="n">
        <v>46113</v>
      </c>
      <c r="B131" s="65" t="n">
        <v>367.85</v>
      </c>
    </row>
    <row r="132" customFormat="false" ht="15" hidden="false" customHeight="false" outlineLevel="0" collapsed="false">
      <c r="A132" s="81" t="n">
        <v>46112</v>
      </c>
      <c r="B132" s="65" t="n">
        <v>337.84</v>
      </c>
    </row>
    <row r="133" customFormat="false" ht="15" hidden="false" customHeight="false" outlineLevel="0" collapsed="false">
      <c r="A133" s="81" t="n">
        <v>46111</v>
      </c>
      <c r="B133" s="65" t="n">
        <v>321.8</v>
      </c>
    </row>
    <row r="134" customFormat="false" ht="15" hidden="false" customHeight="false" outlineLevel="0" collapsed="false">
      <c r="A134" s="81" t="n">
        <v>46108</v>
      </c>
      <c r="B134" s="65" t="n">
        <v>357.22</v>
      </c>
    </row>
    <row r="135" customFormat="false" ht="15" hidden="false" customHeight="false" outlineLevel="0" collapsed="false">
      <c r="A135" s="81" t="n">
        <v>46107</v>
      </c>
      <c r="B135" s="65" t="n">
        <v>355.46</v>
      </c>
    </row>
    <row r="136" customFormat="false" ht="15" hidden="false" customHeight="false" outlineLevel="0" collapsed="false">
      <c r="A136" s="81" t="n">
        <v>46106</v>
      </c>
      <c r="B136" s="65" t="n">
        <v>382.09</v>
      </c>
    </row>
    <row r="137" customFormat="false" ht="15" hidden="false" customHeight="false" outlineLevel="0" collapsed="false">
      <c r="A137" s="81" t="n">
        <v>46105</v>
      </c>
      <c r="B137" s="65" t="n">
        <v>395.53</v>
      </c>
    </row>
    <row r="138" customFormat="false" ht="15" hidden="false" customHeight="false" outlineLevel="0" collapsed="false">
      <c r="A138" s="81" t="n">
        <v>46104</v>
      </c>
      <c r="B138" s="65" t="n">
        <v>404.35</v>
      </c>
    </row>
    <row r="139" customFormat="false" ht="15" hidden="false" customHeight="false" outlineLevel="0" collapsed="false">
      <c r="A139" s="81" t="n">
        <v>46101</v>
      </c>
      <c r="B139" s="65" t="n">
        <v>422.9</v>
      </c>
    </row>
    <row r="140" customFormat="false" ht="15" hidden="false" customHeight="false" outlineLevel="0" collapsed="false">
      <c r="A140" s="81" t="n">
        <v>46100</v>
      </c>
      <c r="B140" s="65" t="n">
        <v>444.27</v>
      </c>
    </row>
    <row r="141" customFormat="false" ht="15" hidden="false" customHeight="false" outlineLevel="0" collapsed="false">
      <c r="A141" s="81" t="n">
        <v>46099</v>
      </c>
      <c r="B141" s="65" t="n">
        <v>461.73</v>
      </c>
    </row>
    <row r="142" customFormat="false" ht="15" hidden="false" customHeight="false" outlineLevel="0" collapsed="false">
      <c r="A142" s="81" t="n">
        <v>46098</v>
      </c>
      <c r="B142" s="65" t="n">
        <v>461.69</v>
      </c>
    </row>
    <row r="143" customFormat="false" ht="15" hidden="false" customHeight="false" outlineLevel="0" collapsed="false">
      <c r="A143" s="81" t="n">
        <v>46097</v>
      </c>
      <c r="B143" s="65" t="n">
        <v>441.8</v>
      </c>
    </row>
    <row r="144" customFormat="false" ht="15" hidden="false" customHeight="false" outlineLevel="0" collapsed="false">
      <c r="A144" s="81" t="n">
        <v>46094</v>
      </c>
      <c r="B144" s="65" t="n">
        <v>426.13</v>
      </c>
    </row>
    <row r="145" customFormat="false" ht="15" hidden="false" customHeight="false" outlineLevel="0" collapsed="false">
      <c r="A145" s="81" t="n">
        <v>46093</v>
      </c>
      <c r="B145" s="65" t="n">
        <v>405.35</v>
      </c>
    </row>
    <row r="146" customFormat="false" ht="15" hidden="false" customHeight="false" outlineLevel="0" collapsed="false">
      <c r="A146" s="81" t="n">
        <v>46092</v>
      </c>
      <c r="B146" s="65" t="n">
        <v>418.69</v>
      </c>
    </row>
    <row r="147" customFormat="false" ht="15" hidden="false" customHeight="false" outlineLevel="0" collapsed="false">
      <c r="A147" s="81" t="n">
        <v>46091</v>
      </c>
      <c r="B147" s="65" t="n">
        <v>403.11</v>
      </c>
    </row>
    <row r="148" customFormat="false" ht="15" hidden="false" customHeight="false" outlineLevel="0" collapsed="false">
      <c r="A148" s="81" t="n">
        <v>46090</v>
      </c>
      <c r="B148" s="65" t="n">
        <v>389.32</v>
      </c>
    </row>
    <row r="149" customFormat="false" ht="15" hidden="false" customHeight="false" outlineLevel="0" collapsed="false">
      <c r="A149" s="81" t="n">
        <v>46087</v>
      </c>
      <c r="B149" s="65" t="n">
        <v>370.3</v>
      </c>
    </row>
    <row r="150" customFormat="false" ht="15" hidden="false" customHeight="false" outlineLevel="0" collapsed="false">
      <c r="A150" s="81" t="n">
        <v>46086</v>
      </c>
      <c r="B150" s="65" t="n">
        <v>397.05</v>
      </c>
    </row>
    <row r="151" customFormat="false" ht="15" hidden="false" customHeight="false" outlineLevel="0" collapsed="false">
      <c r="A151" s="81" t="n">
        <v>46085</v>
      </c>
      <c r="B151" s="65" t="n">
        <v>400.77</v>
      </c>
    </row>
    <row r="152" customFormat="false" ht="15" hidden="false" customHeight="false" outlineLevel="0" collapsed="false">
      <c r="A152" s="81" t="n">
        <v>46084</v>
      </c>
      <c r="B152" s="65" t="n">
        <v>379.68</v>
      </c>
    </row>
    <row r="153" customFormat="false" ht="15" hidden="false" customHeight="false" outlineLevel="0" collapsed="false">
      <c r="A153" s="81" t="n">
        <v>46083</v>
      </c>
      <c r="B153" s="65" t="n">
        <v>412.67</v>
      </c>
    </row>
    <row r="154" customFormat="false" ht="15" hidden="false" customHeight="false" outlineLevel="0" collapsed="false">
      <c r="A154" s="81" t="n">
        <v>46080</v>
      </c>
      <c r="B154" s="65" t="n">
        <v>412.37</v>
      </c>
    </row>
    <row r="155" customFormat="false" ht="15" hidden="false" customHeight="false" outlineLevel="0" collapsed="false">
      <c r="A155" s="81" t="n">
        <v>46079</v>
      </c>
      <c r="B155" s="65" t="n">
        <v>415.56</v>
      </c>
    </row>
    <row r="156" customFormat="false" ht="15" hidden="false" customHeight="false" outlineLevel="0" collapsed="false">
      <c r="A156" s="81" t="n">
        <v>46078</v>
      </c>
      <c r="B156" s="65" t="n">
        <v>429</v>
      </c>
    </row>
    <row r="157" customFormat="false" ht="15" hidden="false" customHeight="false" outlineLevel="0" collapsed="false">
      <c r="A157" s="81" t="n">
        <v>46077</v>
      </c>
      <c r="B157" s="65" t="n">
        <v>418.01</v>
      </c>
    </row>
    <row r="158" customFormat="false" ht="15" hidden="false" customHeight="false" outlineLevel="0" collapsed="false">
      <c r="A158" s="81" t="n">
        <v>46076</v>
      </c>
      <c r="B158" s="65" t="n">
        <v>420.97</v>
      </c>
    </row>
    <row r="159" customFormat="false" ht="15" hidden="false" customHeight="false" outlineLevel="0" collapsed="false">
      <c r="A159" s="81" t="n">
        <v>46073</v>
      </c>
      <c r="B159" s="65" t="n">
        <v>428.17</v>
      </c>
    </row>
    <row r="160" customFormat="false" ht="15" hidden="false" customHeight="false" outlineLevel="0" collapsed="false">
      <c r="A160" s="81" t="n">
        <v>46072</v>
      </c>
      <c r="B160" s="65" t="n">
        <v>417.35</v>
      </c>
    </row>
    <row r="161" customFormat="false" ht="15" hidden="false" customHeight="false" outlineLevel="0" collapsed="false">
      <c r="A161" s="81" t="n">
        <v>46071</v>
      </c>
      <c r="B161" s="65" t="n">
        <v>420.95</v>
      </c>
    </row>
    <row r="162" customFormat="false" ht="15" hidden="false" customHeight="false" outlineLevel="0" collapsed="false">
      <c r="A162" s="81" t="n">
        <v>46070</v>
      </c>
      <c r="B162" s="65" t="n">
        <v>399.78</v>
      </c>
    </row>
    <row r="163" customFormat="false" ht="15" hidden="false" customHeight="false" outlineLevel="0" collapsed="false">
      <c r="A163" s="81" t="n">
        <v>46066</v>
      </c>
      <c r="B163" s="65" t="n">
        <v>411.66</v>
      </c>
    </row>
    <row r="164" customFormat="false" ht="15" hidden="false" customHeight="false" outlineLevel="0" collapsed="false">
      <c r="A164" s="81" t="n">
        <v>46065</v>
      </c>
      <c r="B164" s="65" t="n">
        <v>413.97</v>
      </c>
    </row>
    <row r="165" customFormat="false" ht="15" hidden="false" customHeight="false" outlineLevel="0" collapsed="false">
      <c r="A165" s="81" t="n">
        <v>46064</v>
      </c>
      <c r="B165" s="65" t="n">
        <v>410.34</v>
      </c>
    </row>
    <row r="166" customFormat="false" ht="15" hidden="false" customHeight="false" outlineLevel="0" collapsed="false">
      <c r="A166" s="81" t="n">
        <v>46063</v>
      </c>
      <c r="B166" s="65" t="n">
        <v>373.25</v>
      </c>
    </row>
    <row r="167" customFormat="false" ht="15" hidden="false" customHeight="false" outlineLevel="0" collapsed="false">
      <c r="A167" s="81" t="n">
        <v>46062</v>
      </c>
      <c r="B167" s="65" t="n">
        <v>383.5</v>
      </c>
    </row>
    <row r="168" customFormat="false" ht="15" hidden="false" customHeight="false" outlineLevel="0" collapsed="false">
      <c r="A168" s="81" t="n">
        <v>46059</v>
      </c>
      <c r="B168" s="65" t="n">
        <v>394.69</v>
      </c>
    </row>
    <row r="169" customFormat="false" ht="15" hidden="false" customHeight="false" outlineLevel="0" collapsed="false">
      <c r="A169" s="81" t="n">
        <v>46058</v>
      </c>
      <c r="B169" s="65" t="n">
        <v>382.89</v>
      </c>
    </row>
    <row r="170" customFormat="false" ht="15" hidden="false" customHeight="false" outlineLevel="0" collapsed="false">
      <c r="A170" s="81" t="n">
        <v>46057</v>
      </c>
      <c r="B170" s="65" t="n">
        <v>379.4</v>
      </c>
    </row>
    <row r="171" customFormat="false" ht="15" hidden="false" customHeight="false" outlineLevel="0" collapsed="false">
      <c r="A171" s="81" t="n">
        <v>46056</v>
      </c>
      <c r="B171" s="65" t="n">
        <v>419.44</v>
      </c>
    </row>
    <row r="172" customFormat="false" ht="15" hidden="false" customHeight="false" outlineLevel="0" collapsed="false">
      <c r="A172" s="81" t="n">
        <v>46055</v>
      </c>
      <c r="B172" s="65" t="n">
        <v>437.8</v>
      </c>
    </row>
    <row r="173" customFormat="false" ht="15" hidden="false" customHeight="false" outlineLevel="0" collapsed="false">
      <c r="A173" s="81" t="n">
        <v>46052</v>
      </c>
      <c r="B173" s="65" t="n">
        <v>414.88</v>
      </c>
    </row>
    <row r="174" customFormat="false" ht="15" hidden="false" customHeight="false" outlineLevel="0" collapsed="false">
      <c r="A174" s="81" t="n">
        <v>46051</v>
      </c>
      <c r="B174" s="65" t="n">
        <v>435.79</v>
      </c>
    </row>
    <row r="175" customFormat="false" ht="15" hidden="false" customHeight="false" outlineLevel="0" collapsed="false">
      <c r="A175" s="81" t="n">
        <v>46050</v>
      </c>
      <c r="B175" s="65" t="n">
        <v>435.28</v>
      </c>
    </row>
    <row r="176" customFormat="false" ht="15" hidden="false" customHeight="false" outlineLevel="0" collapsed="false">
      <c r="A176" s="81" t="n">
        <v>46049</v>
      </c>
      <c r="B176" s="65" t="n">
        <v>410.24</v>
      </c>
    </row>
    <row r="177" customFormat="false" ht="15" hidden="false" customHeight="false" outlineLevel="0" collapsed="false">
      <c r="A177" s="81" t="n">
        <v>46048</v>
      </c>
      <c r="B177" s="65" t="n">
        <v>389.09</v>
      </c>
    </row>
    <row r="178" customFormat="false" ht="15" hidden="false" customHeight="false" outlineLevel="0" collapsed="false">
      <c r="A178" s="81" t="n">
        <v>46045</v>
      </c>
      <c r="B178" s="65" t="n">
        <v>399.65</v>
      </c>
    </row>
    <row r="179" customFormat="false" ht="15" hidden="false" customHeight="false" outlineLevel="0" collapsed="false">
      <c r="A179" s="81" t="n">
        <v>46044</v>
      </c>
      <c r="B179" s="65" t="n">
        <v>397.58</v>
      </c>
    </row>
    <row r="180" customFormat="false" ht="15" hidden="false" customHeight="false" outlineLevel="0" collapsed="false">
      <c r="A180" s="81" t="n">
        <v>46043</v>
      </c>
      <c r="B180" s="65" t="n">
        <v>389.11</v>
      </c>
    </row>
    <row r="181" customFormat="false" ht="15" hidden="false" customHeight="false" outlineLevel="0" collapsed="false">
      <c r="A181" s="81" t="n">
        <v>46042</v>
      </c>
      <c r="B181" s="65" t="n">
        <v>365</v>
      </c>
    </row>
    <row r="182" customFormat="false" ht="15" hidden="false" customHeight="false" outlineLevel="0" collapsed="false">
      <c r="A182" s="81" t="n">
        <v>46038</v>
      </c>
      <c r="B182" s="65" t="n">
        <v>362.75</v>
      </c>
    </row>
    <row r="183" customFormat="false" ht="15" hidden="false" customHeight="false" outlineLevel="0" collapsed="false">
      <c r="A183" s="81" t="n">
        <v>46037</v>
      </c>
      <c r="B183" s="65" t="n">
        <v>336.63</v>
      </c>
    </row>
    <row r="184" customFormat="false" ht="15" hidden="false" customHeight="false" outlineLevel="0" collapsed="false">
      <c r="A184" s="81" t="n">
        <v>46036</v>
      </c>
      <c r="B184" s="65" t="n">
        <v>333.35</v>
      </c>
    </row>
    <row r="185" customFormat="false" ht="15" hidden="false" customHeight="false" outlineLevel="0" collapsed="false">
      <c r="A185" s="81" t="n">
        <v>46035</v>
      </c>
      <c r="B185" s="65" t="n">
        <v>338.13</v>
      </c>
    </row>
    <row r="186" customFormat="false" ht="15" hidden="false" customHeight="false" outlineLevel="0" collapsed="false">
      <c r="A186" s="81" t="n">
        <v>46034</v>
      </c>
      <c r="B186" s="65" t="n">
        <v>345.87</v>
      </c>
    </row>
    <row r="187" customFormat="false" ht="15" hidden="false" customHeight="false" outlineLevel="0" collapsed="false">
      <c r="A187" s="81" t="n">
        <v>46031</v>
      </c>
      <c r="B187" s="65" t="n">
        <v>345.09</v>
      </c>
    </row>
    <row r="188" customFormat="false" ht="15" hidden="false" customHeight="false" outlineLevel="0" collapsed="false">
      <c r="A188" s="81" t="n">
        <v>46030</v>
      </c>
      <c r="B188" s="65" t="n">
        <v>327.02</v>
      </c>
    </row>
    <row r="189" customFormat="false" ht="15" hidden="false" customHeight="false" outlineLevel="0" collapsed="false">
      <c r="A189" s="81" t="n">
        <v>46029</v>
      </c>
      <c r="B189" s="65" t="n">
        <v>339.55</v>
      </c>
    </row>
    <row r="190" customFormat="false" ht="15" hidden="false" customHeight="false" outlineLevel="0" collapsed="false">
      <c r="A190" s="81" t="n">
        <v>46028</v>
      </c>
      <c r="B190" s="65" t="n">
        <v>343.43</v>
      </c>
    </row>
    <row r="191" customFormat="false" ht="15" hidden="false" customHeight="false" outlineLevel="0" collapsed="false">
      <c r="A191" s="81" t="n">
        <v>46027</v>
      </c>
      <c r="B191" s="65" t="n">
        <v>312.15</v>
      </c>
    </row>
    <row r="192" customFormat="false" ht="15" hidden="false" customHeight="false" outlineLevel="0" collapsed="false">
      <c r="A192" s="81" t="n">
        <v>46024</v>
      </c>
      <c r="B192" s="65" t="n">
        <v>315.42</v>
      </c>
    </row>
    <row r="193" customFormat="false" ht="15" hidden="false" customHeight="false" outlineLevel="0" collapsed="false">
      <c r="A193" s="81" t="n">
        <v>46022</v>
      </c>
      <c r="B193" s="65" t="n">
        <v>285.41</v>
      </c>
    </row>
    <row r="194" customFormat="false" ht="15" hidden="false" customHeight="false" outlineLevel="0" collapsed="false">
      <c r="A194" s="81" t="n">
        <v>46021</v>
      </c>
      <c r="B194" s="65" t="n">
        <v>292.63</v>
      </c>
    </row>
    <row r="195" customFormat="false" ht="15" hidden="false" customHeight="false" outlineLevel="0" collapsed="false">
      <c r="A195" s="81" t="n">
        <v>46020</v>
      </c>
      <c r="B195" s="65" t="n">
        <v>294.37</v>
      </c>
    </row>
    <row r="196" customFormat="false" ht="15" hidden="false" customHeight="false" outlineLevel="0" collapsed="false">
      <c r="A196" s="81" t="n">
        <v>46017</v>
      </c>
      <c r="B196" s="65" t="n">
        <v>284.79</v>
      </c>
    </row>
    <row r="197" customFormat="false" ht="15" hidden="false" customHeight="false" outlineLevel="0" collapsed="false">
      <c r="A197" s="81" t="n">
        <v>46015</v>
      </c>
      <c r="B197" s="65" t="n">
        <v>286.68</v>
      </c>
    </row>
    <row r="198" customFormat="false" ht="15" hidden="false" customHeight="false" outlineLevel="0" collapsed="false">
      <c r="A198" s="81" t="n">
        <v>46014</v>
      </c>
      <c r="B198" s="65" t="n">
        <v>276.27</v>
      </c>
    </row>
    <row r="199" customFormat="false" ht="15" hidden="false" customHeight="false" outlineLevel="0" collapsed="false">
      <c r="A199" s="81" t="n">
        <v>46013</v>
      </c>
      <c r="B199" s="65" t="n">
        <v>276.59</v>
      </c>
    </row>
    <row r="200" customFormat="false" ht="15" hidden="false" customHeight="false" outlineLevel="0" collapsed="false">
      <c r="A200" s="81" t="n">
        <v>46010</v>
      </c>
      <c r="B200" s="65" t="n">
        <v>265.92</v>
      </c>
    </row>
    <row r="201" customFormat="false" ht="15" hidden="false" customHeight="false" outlineLevel="0" collapsed="false">
      <c r="A201" s="81" t="n">
        <v>46009</v>
      </c>
      <c r="B201" s="65" t="n">
        <v>248.55</v>
      </c>
    </row>
    <row r="202" customFormat="false" ht="15" hidden="false" customHeight="false" outlineLevel="0" collapsed="false">
      <c r="A202" s="81" t="n">
        <v>46008</v>
      </c>
      <c r="B202" s="65" t="n">
        <v>225.52</v>
      </c>
    </row>
    <row r="203" customFormat="false" ht="15" hidden="false" customHeight="false" outlineLevel="0" collapsed="false">
      <c r="A203" s="81" t="n">
        <v>46007</v>
      </c>
      <c r="B203" s="65" t="n">
        <v>232.51</v>
      </c>
    </row>
    <row r="204" customFormat="false" ht="15" hidden="false" customHeight="false" outlineLevel="0" collapsed="false">
      <c r="A204" s="81" t="n">
        <v>46006</v>
      </c>
      <c r="B204" s="65" t="n">
        <v>237.5</v>
      </c>
    </row>
    <row r="205" customFormat="false" ht="15" hidden="false" customHeight="false" outlineLevel="0" collapsed="false">
      <c r="A205" s="81" t="n">
        <v>46003</v>
      </c>
      <c r="B205" s="65" t="n">
        <v>241.14</v>
      </c>
    </row>
    <row r="206" customFormat="false" ht="15" hidden="false" customHeight="false" outlineLevel="0" collapsed="false">
      <c r="A206" s="81" t="n">
        <v>46002</v>
      </c>
      <c r="B206" s="65" t="n">
        <v>258.46</v>
      </c>
    </row>
    <row r="207" customFormat="false" ht="15" hidden="false" customHeight="false" outlineLevel="0" collapsed="false">
      <c r="A207" s="81" t="n">
        <v>46001</v>
      </c>
      <c r="B207" s="65" t="n">
        <v>263.71</v>
      </c>
    </row>
    <row r="208" customFormat="false" ht="15" hidden="false" customHeight="false" outlineLevel="0" collapsed="false">
      <c r="A208" s="81" t="n">
        <v>46000</v>
      </c>
      <c r="B208" s="65" t="n">
        <v>252.42</v>
      </c>
    </row>
    <row r="209" customFormat="false" ht="15" hidden="false" customHeight="false" outlineLevel="0" collapsed="false">
      <c r="A209" s="81" t="n">
        <v>45999</v>
      </c>
      <c r="B209" s="65" t="n">
        <v>246.92</v>
      </c>
    </row>
    <row r="210" customFormat="false" ht="15" hidden="false" customHeight="false" outlineLevel="0" collapsed="false">
      <c r="A210" s="81" t="n">
        <v>45996</v>
      </c>
      <c r="B210" s="65" t="n">
        <v>237.22</v>
      </c>
    </row>
    <row r="211" customFormat="false" ht="15" hidden="false" customHeight="false" outlineLevel="0" collapsed="false">
      <c r="A211" s="81" t="n">
        <v>45995</v>
      </c>
      <c r="B211" s="65" t="n">
        <v>226.65</v>
      </c>
    </row>
    <row r="212" customFormat="false" ht="15" hidden="false" customHeight="false" outlineLevel="0" collapsed="false">
      <c r="A212" s="81" t="n">
        <v>45994</v>
      </c>
      <c r="B212" s="65" t="n">
        <v>234.16</v>
      </c>
    </row>
    <row r="213" customFormat="false" ht="15" hidden="false" customHeight="false" outlineLevel="0" collapsed="false">
      <c r="A213" s="81" t="n">
        <v>45993</v>
      </c>
      <c r="B213" s="65" t="n">
        <v>239.49</v>
      </c>
    </row>
    <row r="214" customFormat="false" ht="15" hidden="false" customHeight="false" outlineLevel="0" collapsed="false">
      <c r="A214" s="81" t="n">
        <v>45992</v>
      </c>
      <c r="B214" s="65" t="n">
        <v>240.46</v>
      </c>
    </row>
    <row r="215" customFormat="false" ht="15" hidden="false" customHeight="false" outlineLevel="0" collapsed="false">
      <c r="A215" s="81" t="n">
        <v>45989</v>
      </c>
      <c r="B215" s="65" t="n">
        <v>236.48</v>
      </c>
    </row>
    <row r="216" customFormat="false" ht="15" hidden="false" customHeight="false" outlineLevel="0" collapsed="false">
      <c r="A216" s="81" t="n">
        <v>45987</v>
      </c>
      <c r="B216" s="65" t="n">
        <v>230.26</v>
      </c>
    </row>
    <row r="217" customFormat="false" ht="15" hidden="false" customHeight="false" outlineLevel="0" collapsed="false">
      <c r="A217" s="81" t="n">
        <v>45986</v>
      </c>
      <c r="B217" s="65" t="n">
        <v>224.53</v>
      </c>
    </row>
    <row r="218" customFormat="false" ht="15" hidden="false" customHeight="false" outlineLevel="0" collapsed="false">
      <c r="A218" s="81" t="n">
        <v>45985</v>
      </c>
      <c r="B218" s="65" t="n">
        <v>223.93</v>
      </c>
    </row>
    <row r="219" customFormat="false" ht="15" hidden="false" customHeight="false" outlineLevel="0" collapsed="false">
      <c r="A219" s="81" t="n">
        <v>45982</v>
      </c>
      <c r="B219" s="65" t="n">
        <v>207.37</v>
      </c>
    </row>
    <row r="220" customFormat="false" ht="15" hidden="false" customHeight="false" outlineLevel="0" collapsed="false">
      <c r="A220" s="81" t="n">
        <v>45981</v>
      </c>
      <c r="B220" s="65" t="n">
        <v>201.37</v>
      </c>
    </row>
    <row r="221" customFormat="false" ht="15" hidden="false" customHeight="false" outlineLevel="0" collapsed="false">
      <c r="A221" s="81" t="n">
        <v>45980</v>
      </c>
      <c r="B221" s="65" t="n">
        <v>225.92</v>
      </c>
    </row>
    <row r="222" customFormat="false" ht="15" hidden="false" customHeight="false" outlineLevel="0" collapsed="false">
      <c r="A222" s="81" t="n">
        <v>45979</v>
      </c>
      <c r="B222" s="65" t="n">
        <v>228.5</v>
      </c>
    </row>
    <row r="223" customFormat="false" ht="15" hidden="false" customHeight="false" outlineLevel="0" collapsed="false">
      <c r="A223" s="81" t="n">
        <v>45978</v>
      </c>
      <c r="B223" s="65" t="n">
        <v>241.95</v>
      </c>
    </row>
    <row r="224" customFormat="false" ht="15" hidden="false" customHeight="false" outlineLevel="0" collapsed="false">
      <c r="A224" s="81" t="n">
        <v>45975</v>
      </c>
      <c r="B224" s="65" t="n">
        <v>246.83</v>
      </c>
    </row>
    <row r="225" customFormat="false" ht="15" hidden="false" customHeight="false" outlineLevel="0" collapsed="false">
      <c r="A225" s="81" t="n">
        <v>45974</v>
      </c>
      <c r="B225" s="65" t="n">
        <v>236.95</v>
      </c>
    </row>
    <row r="226" customFormat="false" ht="15" hidden="false" customHeight="false" outlineLevel="0" collapsed="false">
      <c r="A226" s="81" t="n">
        <v>45973</v>
      </c>
      <c r="B226" s="65" t="n">
        <v>244.9</v>
      </c>
    </row>
    <row r="227" customFormat="false" ht="15" hidden="false" customHeight="false" outlineLevel="0" collapsed="false">
      <c r="A227" s="81" t="n">
        <v>45972</v>
      </c>
      <c r="B227" s="65" t="n">
        <v>241.11</v>
      </c>
    </row>
    <row r="228" customFormat="false" ht="15" hidden="false" customHeight="false" outlineLevel="0" collapsed="false">
      <c r="A228" s="81" t="n">
        <v>45971</v>
      </c>
      <c r="B228" s="65" t="n">
        <v>253.3</v>
      </c>
    </row>
    <row r="229" customFormat="false" ht="15" hidden="false" customHeight="false" outlineLevel="0" collapsed="false">
      <c r="A229" s="81" t="n">
        <v>45968</v>
      </c>
      <c r="B229" s="65" t="n">
        <v>237.92</v>
      </c>
    </row>
    <row r="230" customFormat="false" ht="15" hidden="false" customHeight="false" outlineLevel="0" collapsed="false">
      <c r="A230" s="81" t="n">
        <v>45967</v>
      </c>
      <c r="B230" s="65" t="n">
        <v>238.33</v>
      </c>
    </row>
    <row r="231" customFormat="false" ht="15" hidden="false" customHeight="false" outlineLevel="0" collapsed="false">
      <c r="A231" s="81" t="n">
        <v>45966</v>
      </c>
      <c r="B231" s="65" t="n">
        <v>237.5</v>
      </c>
    </row>
    <row r="232" customFormat="false" ht="15" hidden="false" customHeight="false" outlineLevel="0" collapsed="false">
      <c r="A232" s="81" t="n">
        <v>45965</v>
      </c>
      <c r="B232" s="65" t="n">
        <v>218.03</v>
      </c>
    </row>
    <row r="233" customFormat="false" ht="15" hidden="false" customHeight="false" outlineLevel="0" collapsed="false">
      <c r="A233" s="81" t="n">
        <v>45964</v>
      </c>
      <c r="B233" s="65" t="n">
        <v>234.7</v>
      </c>
    </row>
    <row r="234" customFormat="false" ht="15" hidden="false" customHeight="false" outlineLevel="0" collapsed="false">
      <c r="A234" s="81" t="n">
        <v>45961</v>
      </c>
      <c r="B234" s="65" t="n">
        <v>223.77</v>
      </c>
    </row>
    <row r="235" customFormat="false" ht="15" hidden="false" customHeight="false" outlineLevel="0" collapsed="false">
      <c r="A235" s="81" t="n">
        <v>45960</v>
      </c>
      <c r="B235" s="65" t="n">
        <v>224.01</v>
      </c>
    </row>
    <row r="236" customFormat="false" ht="15" hidden="false" customHeight="false" outlineLevel="0" collapsed="false">
      <c r="A236" s="81" t="n">
        <v>45959</v>
      </c>
      <c r="B236" s="65" t="n">
        <v>226.63</v>
      </c>
    </row>
    <row r="237" customFormat="false" ht="15" hidden="false" customHeight="false" outlineLevel="0" collapsed="false">
      <c r="A237" s="81" t="n">
        <v>45958</v>
      </c>
      <c r="B237" s="65" t="n">
        <v>221.91</v>
      </c>
    </row>
    <row r="238" customFormat="false" ht="15" hidden="false" customHeight="false" outlineLevel="0" collapsed="false">
      <c r="A238" s="81" t="n">
        <v>45957</v>
      </c>
      <c r="B238" s="65" t="n">
        <v>220.1</v>
      </c>
    </row>
    <row r="239" customFormat="false" ht="15" hidden="false" customHeight="false" outlineLevel="0" collapsed="false">
      <c r="A239" s="81" t="n">
        <v>45954</v>
      </c>
      <c r="B239" s="65" t="n">
        <v>219.02</v>
      </c>
    </row>
    <row r="240" customFormat="false" ht="15" hidden="false" customHeight="false" outlineLevel="0" collapsed="false">
      <c r="A240" s="81" t="n">
        <v>45953</v>
      </c>
      <c r="B240" s="65" t="n">
        <v>206.71</v>
      </c>
    </row>
    <row r="241" customFormat="false" ht="15" hidden="false" customHeight="false" outlineLevel="0" collapsed="false">
      <c r="A241" s="81" t="n">
        <v>45952</v>
      </c>
      <c r="B241" s="65" t="n">
        <v>198.47</v>
      </c>
    </row>
    <row r="242" customFormat="false" ht="15" hidden="false" customHeight="false" outlineLevel="0" collapsed="false">
      <c r="A242" s="81" t="n">
        <v>45951</v>
      </c>
      <c r="B242" s="65" t="n">
        <v>202.29</v>
      </c>
    </row>
    <row r="243" customFormat="false" ht="15" hidden="false" customHeight="false" outlineLevel="0" collapsed="false">
      <c r="A243" s="81" t="n">
        <v>45950</v>
      </c>
      <c r="B243" s="65" t="n">
        <v>206.77</v>
      </c>
    </row>
    <row r="244" customFormat="false" ht="15" hidden="false" customHeight="false" outlineLevel="0" collapsed="false">
      <c r="A244" s="81" t="n">
        <v>45947</v>
      </c>
      <c r="B244" s="65" t="n">
        <v>202.38</v>
      </c>
    </row>
    <row r="245" customFormat="false" ht="15" hidden="false" customHeight="false" outlineLevel="0" collapsed="false">
      <c r="A245" s="81" t="n">
        <v>45946</v>
      </c>
      <c r="B245" s="65" t="n">
        <v>202.53</v>
      </c>
    </row>
    <row r="246" customFormat="false" ht="15" hidden="false" customHeight="false" outlineLevel="0" collapsed="false">
      <c r="A246" s="81" t="n">
        <v>45945</v>
      </c>
      <c r="B246" s="65" t="n">
        <v>191.94</v>
      </c>
    </row>
    <row r="247" customFormat="false" ht="15" hidden="false" customHeight="false" outlineLevel="0" collapsed="false">
      <c r="A247" s="81" t="n">
        <v>45944</v>
      </c>
      <c r="B247" s="65" t="n">
        <v>187.06</v>
      </c>
    </row>
    <row r="248" customFormat="false" ht="15" hidden="false" customHeight="false" outlineLevel="0" collapsed="false">
      <c r="A248" s="81" t="n">
        <v>45943</v>
      </c>
      <c r="B248" s="65" t="n">
        <v>192.77</v>
      </c>
    </row>
    <row r="249" customFormat="false" ht="15" hidden="false" customHeight="false" outlineLevel="0" collapsed="false">
      <c r="A249" s="81" t="n">
        <v>45940</v>
      </c>
      <c r="B249" s="65" t="n">
        <v>181.6</v>
      </c>
    </row>
    <row r="250" customFormat="false" ht="15" hidden="false" customHeight="false" outlineLevel="0" collapsed="false">
      <c r="A250" s="81" t="n">
        <v>45939</v>
      </c>
      <c r="B250" s="65" t="n">
        <v>192.33</v>
      </c>
    </row>
    <row r="251" customFormat="false" ht="15" hidden="false" customHeight="false" outlineLevel="0" collapsed="false">
      <c r="A251" s="81" t="n">
        <v>45938</v>
      </c>
      <c r="B251" s="65" t="n">
        <v>196.54</v>
      </c>
    </row>
    <row r="252" customFormat="false" ht="15" hidden="false" customHeight="false" outlineLevel="0" collapsed="false">
      <c r="A252" s="81" t="n">
        <v>45937</v>
      </c>
      <c r="B252" s="65" t="n">
        <v>185.69</v>
      </c>
    </row>
    <row r="253" customFormat="false" ht="15" hidden="false" customHeight="false" outlineLevel="0" collapsed="false">
      <c r="A253" s="81" t="n">
        <v>45936</v>
      </c>
      <c r="B253" s="65" t="n">
        <v>190.96</v>
      </c>
    </row>
    <row r="254" customFormat="false" ht="15" hidden="false" customHeight="false" outlineLevel="0" collapsed="false">
      <c r="A254" s="81" t="n">
        <v>45933</v>
      </c>
      <c r="B254" s="65" t="n">
        <v>187.83</v>
      </c>
    </row>
    <row r="255" customFormat="false" ht="15" hidden="false" customHeight="false" outlineLevel="0" collapsed="false">
      <c r="A255" s="81" t="n">
        <v>45932</v>
      </c>
      <c r="B255" s="65" t="n">
        <v>183.75</v>
      </c>
    </row>
    <row r="256" customFormat="false" ht="15" hidden="false" customHeight="false" outlineLevel="0" collapsed="false">
      <c r="A256" s="81" t="n">
        <v>45931</v>
      </c>
      <c r="B256" s="65" t="n">
        <v>182.15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2026-10-01T13:55:36Z</dcterms:created>
  <dc:creator>openpyxl</dc:creator>
  <dc:description/>
  <dc:language>en-US</dc:language>
  <cp:lastModifiedBy/>
  <dcterms:modified xsi:type="dcterms:W3CDTF">2026-10-01T08:55:38Z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