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drawings/drawing5.xml" ContentType="application/vnd.openxmlformats-officedocument.drawing+xml"/>
  <Override PartName="/xl/charts/chart2.xml" ContentType="application/vnd.openxmlformats-officedocument.drawingml.char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rice-my.sharepoint.com/personal/pdm5_rice_edu/Documents/Wright Fund - ATen/01. Excel/"/>
    </mc:Choice>
  </mc:AlternateContent>
  <xr:revisionPtr revIDLastSave="187" documentId="8_{8AD5056A-FF5B-4B2D-B7B1-8A01CD502153}" xr6:coauthVersionLast="47" xr6:coauthVersionMax="47" xr10:uidLastSave="{90DC581E-BDE7-4DEB-B26F-96EB7B5A40A3}"/>
  <bookViews>
    <workbookView xWindow="-120" yWindow="-120" windowWidth="29040" windowHeight="17520" firstSheet="8" activeTab="11" xr2:uid="{00000000-000D-0000-FFFF-FFFF00000000}"/>
  </bookViews>
  <sheets>
    <sheet name="__FDSCACHE__" sheetId="9" state="veryHidden" r:id="rId1"/>
    <sheet name="README" sheetId="13" r:id="rId2"/>
    <sheet name="Assumptions" sheetId="11" r:id="rId3"/>
    <sheet name="Cash Flow Assumptions" sheetId="12" r:id="rId4"/>
    <sheet name="NWC Calc" sheetId="25" r:id="rId5"/>
    <sheet name="Historicals---&gt;" sheetId="18" r:id="rId6"/>
    <sheet name="Historical Financials" sheetId="14" r:id="rId7"/>
    <sheet name="Outputs---&gt;" sheetId="17" r:id="rId8"/>
    <sheet name="Debt Schedule" sheetId="20" r:id="rId9"/>
    <sheet name="Cost of Equity" sheetId="4" r:id="rId10"/>
    <sheet name="Operating Model Output" sheetId="15" r:id="rId11"/>
    <sheet name="OUT-DCF" sheetId="8" r:id="rId12"/>
    <sheet name="DCF Sensitivity" sheetId="27" r:id="rId22"/>
    <sheet name="Comps Valuation" sheetId="28" r:id="rId23"/>
    <sheet name="Valuation Summary" sheetId="29" r:id="rId24"/>
    <sheet name="Scratch Notes---&gt;" sheetId="23" r:id="rId13"/>
    <sheet name="Comps &amp; Dil. Shares" sheetId="19" r:id="rId14"/>
    <sheet name="Price History" sheetId="26" r:id="rId15"/>
  </sheets>
  <definedNames>
    <definedName name="_xleta.MIN" hidden="1">#NAME?</definedName>
    <definedName name="_xleta.T" hidden="1">#NAME?</definedName>
    <definedName name="Circularity">#REF!</definedName>
    <definedName name="MLNK6ae39a2fad55436db90cdfd6c8f000ec" hidden="1">'Operating Model Output'!$B$4:$W$28</definedName>
    <definedName name="MLNK6e50bc51e65e4cacabee56f2be2ff172" hidden="1">'Operating Model Output'!$1:$1048576</definedName>
    <definedName name="_xlnm.Print_Area" localSheetId="9">'Cost of Equity'!$B$2:$J$25</definedName>
    <definedName name="_xlnm.Print_Area" localSheetId="8">'Debt Schedule'!$C$5:$K$13</definedName>
    <definedName name="_xlnm.Print_Area" localSheetId="4">'NWC Calc'!$B$4:$K$41</definedName>
    <definedName name="_xlnm.Print_Area" localSheetId="10">'Operating Model Output'!$B$4:$W$28</definedName>
  </definedNames>
  <calcPr calcId="191028" calcMode="autoNoTable" iterate="1"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12" l="1"/>
  <c r="N18" i="12"/>
  <c r="M44" i="8"/>
  <c r="N44" i="8" s="1"/>
  <c r="L44" i="8"/>
  <c r="K44" i="8" s="1"/>
  <c r="J44" i="8" s="1"/>
  <c r="U32" i="12"/>
  <c r="D16" i="25"/>
  <c r="H39" i="25"/>
  <c r="I39" i="25"/>
  <c r="J39" i="25"/>
  <c r="K39" i="25"/>
  <c r="G39" i="25"/>
  <c r="H40" i="25"/>
  <c r="I40" i="25"/>
  <c r="J40" i="25"/>
  <c r="K40" i="25"/>
  <c r="G40" i="25"/>
  <c r="H41" i="25"/>
  <c r="I41" i="25" s="1"/>
  <c r="J41" i="25" s="1"/>
  <c r="K41" i="25" s="1"/>
  <c r="G41" i="25"/>
  <c r="G31" i="25"/>
  <c r="H31" i="25" s="1"/>
  <c r="I31" i="25" s="1"/>
  <c r="J31" i="25" s="1"/>
  <c r="K31" i="25" s="1"/>
  <c r="G37" i="25"/>
  <c r="H37" i="25" s="1"/>
  <c r="I37" i="25" s="1"/>
  <c r="J37" i="25" s="1"/>
  <c r="K37" i="25" s="1"/>
  <c r="B2" i="25"/>
  <c r="C2" i="12"/>
  <c r="H5" i="25"/>
  <c r="H21" i="25" s="1"/>
  <c r="I5" i="25"/>
  <c r="I21" i="25" s="1"/>
  <c r="J5" i="25"/>
  <c r="J21" i="25" s="1"/>
  <c r="K5" i="25"/>
  <c r="K21" i="25" s="1"/>
  <c r="G5" i="25"/>
  <c r="G21" i="25" s="1"/>
  <c r="D5" i="25"/>
  <c r="D21" i="25" s="1"/>
  <c r="E5" i="25"/>
  <c r="E21" i="25" s="1"/>
  <c r="F5" i="25"/>
  <c r="F21" i="25" s="1"/>
  <c r="C5" i="25"/>
  <c r="C21" i="25" s="1"/>
  <c r="D12" i="25"/>
  <c r="E12" i="25"/>
  <c r="F12" i="25"/>
  <c r="C12" i="25"/>
  <c r="D11" i="25"/>
  <c r="E11" i="25"/>
  <c r="F11" i="25"/>
  <c r="C11" i="25"/>
  <c r="D8" i="25"/>
  <c r="E8" i="25"/>
  <c r="F8" i="25"/>
  <c r="C8" i="25"/>
  <c r="D7" i="25"/>
  <c r="E7" i="25"/>
  <c r="F7" i="25"/>
  <c r="F28" i="25" s="1"/>
  <c r="C7" i="25"/>
  <c r="D6" i="25"/>
  <c r="E6" i="25"/>
  <c r="E23" i="25" s="1"/>
  <c r="F6" i="25"/>
  <c r="F23" i="25" s="1"/>
  <c r="C6" i="25"/>
  <c r="D23" i="25" s="1"/>
  <c r="D29" i="25"/>
  <c r="D35" i="25" s="1"/>
  <c r="E29" i="25"/>
  <c r="E35" i="25" s="1"/>
  <c r="F29" i="25"/>
  <c r="F35" i="25" s="1"/>
  <c r="C29" i="25"/>
  <c r="C35" i="25" s="1"/>
  <c r="D24" i="25"/>
  <c r="E24" i="25"/>
  <c r="F24" i="25"/>
  <c r="C24" i="25"/>
  <c r="E6" i="12"/>
  <c r="O28" i="12"/>
  <c r="O67" i="12"/>
  <c r="O66" i="12"/>
  <c r="U65" i="12"/>
  <c r="P65" i="12" s="1"/>
  <c r="N65" i="12"/>
  <c r="Q71" i="12"/>
  <c r="Q72" i="12" s="1"/>
  <c r="R71" i="12"/>
  <c r="R73" i="12" s="1"/>
  <c r="P71" i="12"/>
  <c r="O73" i="12"/>
  <c r="Y38" i="14"/>
  <c r="P21" i="12"/>
  <c r="P27" i="12" s="1"/>
  <c r="N43" i="12"/>
  <c r="N16" i="12"/>
  <c r="N32" i="12"/>
  <c r="H26" i="8"/>
  <c r="R20" i="12"/>
  <c r="R22" i="12" s="1"/>
  <c r="R28" i="12" s="1"/>
  <c r="Q20" i="12"/>
  <c r="Q26" i="12" s="1"/>
  <c r="P20" i="12"/>
  <c r="P22" i="12" s="1"/>
  <c r="P28" i="12" s="1"/>
  <c r="O20" i="12"/>
  <c r="O22" i="12" s="1"/>
  <c r="K22" i="15"/>
  <c r="J22" i="15"/>
  <c r="I22" i="15"/>
  <c r="H22" i="15"/>
  <c r="G22" i="15"/>
  <c r="F22" i="15"/>
  <c r="U88" i="12"/>
  <c r="U87" i="12"/>
  <c r="N86" i="12"/>
  <c r="O86" i="12" s="1"/>
  <c r="O88" i="12" s="1"/>
  <c r="N84" i="12"/>
  <c r="F21" i="15" s="1"/>
  <c r="H84" i="12"/>
  <c r="I84" i="12"/>
  <c r="J84" i="12"/>
  <c r="G84" i="12"/>
  <c r="N90" i="12"/>
  <c r="F23" i="15" s="1"/>
  <c r="N42" i="12"/>
  <c r="F6" i="15" s="1"/>
  <c r="N36" i="12"/>
  <c r="L14" i="12"/>
  <c r="K14" i="12"/>
  <c r="H42" i="12"/>
  <c r="I42" i="12"/>
  <c r="J42" i="12"/>
  <c r="G42" i="12"/>
  <c r="H36" i="12"/>
  <c r="I36" i="12"/>
  <c r="J36" i="12"/>
  <c r="G36" i="12"/>
  <c r="N14" i="12"/>
  <c r="H14" i="12"/>
  <c r="H18" i="12" s="1"/>
  <c r="I14" i="12"/>
  <c r="I18" i="12" s="1"/>
  <c r="J14" i="12"/>
  <c r="J18" i="12" s="1"/>
  <c r="G14" i="12"/>
  <c r="G18" i="12" s="1"/>
  <c r="U82" i="12"/>
  <c r="U81" i="12"/>
  <c r="U73" i="12"/>
  <c r="U72" i="12"/>
  <c r="O72" i="12" s="1"/>
  <c r="O32" i="12" l="1"/>
  <c r="P32" i="12" s="1"/>
  <c r="Q32" i="12" s="1"/>
  <c r="R32" i="12" s="1"/>
  <c r="S32" i="12" s="1"/>
  <c r="P18" i="12"/>
  <c r="D28" i="25"/>
  <c r="D34" i="25"/>
  <c r="E28" i="25"/>
  <c r="F34" i="25"/>
  <c r="E34" i="25"/>
  <c r="C34" i="25"/>
  <c r="C23" i="25"/>
  <c r="C28" i="25"/>
  <c r="D9" i="25"/>
  <c r="C9" i="25"/>
  <c r="F9" i="25"/>
  <c r="E9" i="25"/>
  <c r="Q65" i="12"/>
  <c r="P66" i="12"/>
  <c r="P67" i="12"/>
  <c r="Q73" i="12"/>
  <c r="R72" i="12"/>
  <c r="P72" i="12"/>
  <c r="S71" i="12"/>
  <c r="P73" i="12"/>
  <c r="R26" i="12"/>
  <c r="R21" i="12"/>
  <c r="R27" i="12" s="1"/>
  <c r="Q21" i="12"/>
  <c r="Q27" i="12" s="1"/>
  <c r="O26" i="12"/>
  <c r="P26" i="12"/>
  <c r="Q22" i="12"/>
  <c r="Q28" i="12" s="1"/>
  <c r="N33" i="12"/>
  <c r="N24" i="12"/>
  <c r="J20" i="12"/>
  <c r="N92" i="12"/>
  <c r="O92" i="12" s="1"/>
  <c r="I20" i="12"/>
  <c r="H20" i="12"/>
  <c r="O87" i="12"/>
  <c r="P86" i="12"/>
  <c r="S73" i="12" l="1"/>
  <c r="S72" i="12"/>
  <c r="Q86" i="12"/>
  <c r="P88" i="12"/>
  <c r="O93" i="12"/>
  <c r="O94" i="12"/>
  <c r="R65" i="12"/>
  <c r="Q67" i="12"/>
  <c r="Q66" i="12"/>
  <c r="N34" i="12"/>
  <c r="O34" i="12" s="1"/>
  <c r="P34" i="12" s="1"/>
  <c r="Q34" i="12" s="1"/>
  <c r="R34" i="12" s="1"/>
  <c r="S34" i="12" s="1"/>
  <c r="O33" i="12"/>
  <c r="P33" i="12" s="1"/>
  <c r="Q33" i="12" s="1"/>
  <c r="R33" i="12" s="1"/>
  <c r="S33" i="12" s="1"/>
  <c r="P92" i="12"/>
  <c r="P87" i="12"/>
  <c r="Q87" i="12" s="1"/>
  <c r="R87" i="12" s="1"/>
  <c r="S87" i="12" s="1"/>
  <c r="P93" i="12"/>
  <c r="Q93" i="12" s="1"/>
  <c r="R93" i="12" s="1"/>
  <c r="S93" i="12" s="1"/>
  <c r="R66" i="12" l="1"/>
  <c r="S65" i="12"/>
  <c r="R67" i="12"/>
  <c r="Q92" i="12"/>
  <c r="P94" i="12"/>
  <c r="R86" i="12"/>
  <c r="Q88" i="12"/>
  <c r="L42" i="12"/>
  <c r="K42" i="12"/>
  <c r="S86" i="12" l="1"/>
  <c r="S88" i="12" s="1"/>
  <c r="R88" i="12"/>
  <c r="R92" i="12"/>
  <c r="Q94" i="12"/>
  <c r="S66" i="12"/>
  <c r="S67" i="12"/>
  <c r="F126" i="19"/>
  <c r="E126" i="19"/>
  <c r="D126" i="19"/>
  <c r="C126" i="19"/>
  <c r="S20" i="12"/>
  <c r="N59" i="12"/>
  <c r="E107" i="19"/>
  <c r="F107" i="19"/>
  <c r="G107" i="19"/>
  <c r="D107" i="19"/>
  <c r="O38" i="12"/>
  <c r="S22" i="15"/>
  <c r="T22" i="15"/>
  <c r="U22" i="15"/>
  <c r="V22" i="15"/>
  <c r="W22" i="15"/>
  <c r="S25" i="15"/>
  <c r="T25" i="15"/>
  <c r="U25" i="15"/>
  <c r="V25" i="15"/>
  <c r="W25" i="15"/>
  <c r="D13" i="25"/>
  <c r="D14" i="25" s="1"/>
  <c r="E13" i="25"/>
  <c r="F13" i="25"/>
  <c r="F14" i="25" s="1"/>
  <c r="C13" i="25"/>
  <c r="C14" i="25" s="1"/>
  <c r="M8" i="15"/>
  <c r="M11" i="15" s="1"/>
  <c r="M15" i="15" s="1"/>
  <c r="N8" i="15"/>
  <c r="N11" i="15" s="1"/>
  <c r="N15" i="15" s="1"/>
  <c r="N18" i="15" s="1"/>
  <c r="N20" i="15" s="1"/>
  <c r="O8" i="15"/>
  <c r="O11" i="15" s="1"/>
  <c r="O15" i="15" s="1"/>
  <c r="O18" i="15" s="1"/>
  <c r="O20" i="15" s="1"/>
  <c r="P8" i="15"/>
  <c r="P11" i="15" s="1"/>
  <c r="P15" i="15" s="1"/>
  <c r="P18" i="15" s="1"/>
  <c r="P20" i="15" s="1"/>
  <c r="Q8" i="15"/>
  <c r="Q11" i="15" s="1"/>
  <c r="Q15" i="15" s="1"/>
  <c r="Q18" i="15" s="1"/>
  <c r="Q20" i="15" s="1"/>
  <c r="N78" i="12"/>
  <c r="F16" i="15" s="1"/>
  <c r="N80" i="12"/>
  <c r="O80" i="12" s="1"/>
  <c r="N71" i="12"/>
  <c r="N47" i="12"/>
  <c r="O47" i="12" s="1"/>
  <c r="N38" i="12"/>
  <c r="K53" i="12"/>
  <c r="N69" i="12"/>
  <c r="F14" i="15" s="1"/>
  <c r="N63" i="12"/>
  <c r="F13" i="15" s="1"/>
  <c r="N57" i="12"/>
  <c r="F12" i="15" s="1"/>
  <c r="N51" i="12"/>
  <c r="F10" i="15" s="1"/>
  <c r="N45" i="12"/>
  <c r="F9" i="15" s="1"/>
  <c r="F7" i="15"/>
  <c r="X43" i="8"/>
  <c r="W43" i="8"/>
  <c r="V43" i="8"/>
  <c r="E41" i="25" l="1"/>
  <c r="E14" i="25"/>
  <c r="F41" i="25"/>
  <c r="P47" i="12"/>
  <c r="Q47" i="12" s="1"/>
  <c r="R47" i="12" s="1"/>
  <c r="S47" i="12" s="1"/>
  <c r="O48" i="12"/>
  <c r="S92" i="12"/>
  <c r="S94" i="12" s="1"/>
  <c r="R94" i="12"/>
  <c r="O53" i="12"/>
  <c r="O54" i="12" s="1"/>
  <c r="O40" i="12"/>
  <c r="D41" i="25"/>
  <c r="C41" i="25"/>
  <c r="E16" i="25"/>
  <c r="F16" i="25"/>
  <c r="C16" i="25"/>
  <c r="S21" i="12"/>
  <c r="S27" i="12" s="1"/>
  <c r="S22" i="12"/>
  <c r="S28" i="12" s="1"/>
  <c r="S26" i="12"/>
  <c r="O39" i="12"/>
  <c r="P38" i="12"/>
  <c r="O81" i="12"/>
  <c r="P80" i="12"/>
  <c r="Q80" i="12" s="1"/>
  <c r="R80" i="12" s="1"/>
  <c r="S80" i="12" s="1"/>
  <c r="O21" i="12"/>
  <c r="O27" i="12" s="1"/>
  <c r="D40" i="25"/>
  <c r="E40" i="25"/>
  <c r="C39" i="25"/>
  <c r="C40" i="25"/>
  <c r="E39" i="25"/>
  <c r="F39" i="25"/>
  <c r="F40" i="25"/>
  <c r="D39" i="25"/>
  <c r="N26" i="15"/>
  <c r="N28" i="15"/>
  <c r="Q28" i="15"/>
  <c r="Q26" i="15"/>
  <c r="P28" i="15"/>
  <c r="P26" i="15"/>
  <c r="O26" i="15"/>
  <c r="O28" i="15"/>
  <c r="H75" i="11"/>
  <c r="H74" i="11"/>
  <c r="H73" i="11"/>
  <c r="H69" i="11"/>
  <c r="H67" i="11"/>
  <c r="H64" i="11"/>
  <c r="H55" i="11"/>
  <c r="H46" i="11"/>
  <c r="H33" i="11"/>
  <c r="H34" i="11" s="1"/>
  <c r="H28" i="11"/>
  <c r="H29" i="11" s="1"/>
  <c r="H20" i="11"/>
  <c r="G20" i="11"/>
  <c r="G74" i="11"/>
  <c r="G69" i="11"/>
  <c r="G67" i="11"/>
  <c r="G73" i="11" s="1"/>
  <c r="G64" i="11"/>
  <c r="G55" i="11"/>
  <c r="G46" i="11"/>
  <c r="G33" i="11"/>
  <c r="G34" i="11" s="1"/>
  <c r="G28" i="11"/>
  <c r="G29" i="11" s="1"/>
  <c r="F33" i="11"/>
  <c r="F34" i="11" s="1"/>
  <c r="D34" i="11" s="1"/>
  <c r="P7" i="8" s="1"/>
  <c r="D33" i="11"/>
  <c r="D32" i="11"/>
  <c r="G70" i="11" l="1"/>
  <c r="G75" i="11"/>
  <c r="H70" i="11"/>
  <c r="G76" i="11"/>
  <c r="H80" i="11"/>
  <c r="H39" i="11" s="1"/>
  <c r="H43" i="11" s="1"/>
  <c r="H44" i="11" s="1"/>
  <c r="P54" i="12"/>
  <c r="Q54" i="12" s="1"/>
  <c r="R54" i="12" s="1"/>
  <c r="S54" i="12" s="1"/>
  <c r="O55" i="12"/>
  <c r="P55" i="12" s="1"/>
  <c r="Q55" i="12" s="1"/>
  <c r="R55" i="12" s="1"/>
  <c r="S55" i="12" s="1"/>
  <c r="Q38" i="12"/>
  <c r="P53" i="12"/>
  <c r="P40" i="12"/>
  <c r="Q40" i="12" s="1"/>
  <c r="R40" i="12" s="1"/>
  <c r="S40" i="12" s="1"/>
  <c r="O49" i="12"/>
  <c r="P49" i="12" s="1"/>
  <c r="Q49" i="12" s="1"/>
  <c r="R49" i="12" s="1"/>
  <c r="S49" i="12" s="1"/>
  <c r="P48" i="12"/>
  <c r="Q48" i="12" s="1"/>
  <c r="R48" i="12" s="1"/>
  <c r="S48" i="12" s="1"/>
  <c r="F18" i="25"/>
  <c r="N96" i="12" s="1"/>
  <c r="F24" i="15" s="1"/>
  <c r="D18" i="25"/>
  <c r="E18" i="25"/>
  <c r="P39" i="12"/>
  <c r="Q39" i="12" s="1"/>
  <c r="R39" i="12" s="1"/>
  <c r="S39" i="12" s="1"/>
  <c r="O82" i="12"/>
  <c r="P82" i="12" s="1"/>
  <c r="Q82" i="12" s="1"/>
  <c r="R82" i="12" s="1"/>
  <c r="S82" i="12" s="1"/>
  <c r="P81" i="12"/>
  <c r="Q81" i="12" s="1"/>
  <c r="R81" i="12" s="1"/>
  <c r="S81" i="12" s="1"/>
  <c r="H81" i="11"/>
  <c r="H84" i="11"/>
  <c r="H85" i="11" s="1"/>
  <c r="H76" i="11"/>
  <c r="G80" i="11"/>
  <c r="G39" i="11" s="1"/>
  <c r="G43" i="11" s="1"/>
  <c r="G44" i="11" s="1"/>
  <c r="G84" i="11"/>
  <c r="G85" i="11" s="1"/>
  <c r="G81" i="11"/>
  <c r="R38" i="12" l="1"/>
  <c r="Q53" i="12"/>
  <c r="L26" i="8"/>
  <c r="K26" i="8"/>
  <c r="J26" i="8"/>
  <c r="I26" i="8"/>
  <c r="L23" i="8"/>
  <c r="K23" i="8"/>
  <c r="J23" i="8"/>
  <c r="I23" i="8"/>
  <c r="H23" i="8"/>
  <c r="G23" i="8"/>
  <c r="G24" i="8"/>
  <c r="G25" i="8"/>
  <c r="G26" i="8"/>
  <c r="G22" i="8"/>
  <c r="G16" i="8"/>
  <c r="G17" i="8" s="1"/>
  <c r="G10" i="8"/>
  <c r="G11" i="8" s="1"/>
  <c r="G7" i="8"/>
  <c r="G8" i="8" s="1"/>
  <c r="F8" i="15"/>
  <c r="G13" i="8" s="1"/>
  <c r="G14" i="8" s="1"/>
  <c r="S38" i="12" l="1"/>
  <c r="S53" i="12" s="1"/>
  <c r="R53" i="12"/>
  <c r="F11" i="15"/>
  <c r="F15" i="15" s="1"/>
  <c r="B2" i="15" l="1"/>
  <c r="B2" i="4"/>
  <c r="F6" i="20"/>
  <c r="N6" i="20" l="1"/>
  <c r="D88" i="19" l="1"/>
  <c r="D86" i="19"/>
  <c r="C88" i="19"/>
  <c r="C89" i="19" s="1"/>
  <c r="C90" i="19" s="1"/>
  <c r="H80" i="12"/>
  <c r="H81" i="12" s="1"/>
  <c r="H82" i="12" s="1"/>
  <c r="I80" i="12"/>
  <c r="I81" i="12" s="1"/>
  <c r="I82" i="12" s="1"/>
  <c r="J80" i="12"/>
  <c r="J81" i="12" s="1"/>
  <c r="J82" i="12" s="1"/>
  <c r="G80" i="12"/>
  <c r="G81" i="12" s="1"/>
  <c r="G82" i="12" s="1"/>
  <c r="H71" i="12"/>
  <c r="H72" i="12" s="1"/>
  <c r="H73" i="12" s="1"/>
  <c r="I71" i="12"/>
  <c r="I72" i="12" s="1"/>
  <c r="I73" i="12" s="1"/>
  <c r="J71" i="12"/>
  <c r="J72" i="12" s="1"/>
  <c r="J73" i="12" s="1"/>
  <c r="G71" i="12"/>
  <c r="G72" i="12" s="1"/>
  <c r="G73" i="12" s="1"/>
  <c r="H65" i="12"/>
  <c r="H66" i="12" s="1"/>
  <c r="H67" i="12" s="1"/>
  <c r="I65" i="12"/>
  <c r="I66" i="12" s="1"/>
  <c r="I67" i="12" s="1"/>
  <c r="J65" i="12"/>
  <c r="J66" i="12" s="1"/>
  <c r="J67" i="12" s="1"/>
  <c r="G65" i="12"/>
  <c r="G66" i="12" s="1"/>
  <c r="G67" i="12" s="1"/>
  <c r="H59" i="12"/>
  <c r="H60" i="12" s="1"/>
  <c r="H61" i="12" s="1"/>
  <c r="I59" i="12"/>
  <c r="I60" i="12" s="1"/>
  <c r="I61" i="12" s="1"/>
  <c r="J59" i="12"/>
  <c r="J60" i="12" s="1"/>
  <c r="J61" i="12" s="1"/>
  <c r="G59" i="12"/>
  <c r="H53" i="12"/>
  <c r="H54" i="12" s="1"/>
  <c r="H55" i="12" s="1"/>
  <c r="I53" i="12"/>
  <c r="I54" i="12" s="1"/>
  <c r="I55" i="12" s="1"/>
  <c r="J53" i="12"/>
  <c r="J54" i="12" s="1"/>
  <c r="J55" i="12" s="1"/>
  <c r="G53" i="12"/>
  <c r="G54" i="12" s="1"/>
  <c r="G55" i="12" s="1"/>
  <c r="H47" i="12"/>
  <c r="H48" i="12" s="1"/>
  <c r="H49" i="12" s="1"/>
  <c r="I47" i="12"/>
  <c r="I48" i="12" s="1"/>
  <c r="I49" i="12" s="1"/>
  <c r="J47" i="12"/>
  <c r="J48" i="12" s="1"/>
  <c r="J49" i="12" s="1"/>
  <c r="G47" i="12"/>
  <c r="G48" i="12" s="1"/>
  <c r="G49" i="12" s="1"/>
  <c r="H78" i="12"/>
  <c r="I78" i="12"/>
  <c r="J78" i="12"/>
  <c r="G78" i="12"/>
  <c r="H69" i="12"/>
  <c r="I69" i="12"/>
  <c r="J69" i="12"/>
  <c r="G69" i="12"/>
  <c r="H63" i="12"/>
  <c r="I63" i="12"/>
  <c r="J63" i="12"/>
  <c r="G63" i="12"/>
  <c r="H57" i="12"/>
  <c r="I57" i="12"/>
  <c r="J57" i="12"/>
  <c r="G57" i="12"/>
  <c r="H51" i="12"/>
  <c r="I51" i="12"/>
  <c r="J51" i="12"/>
  <c r="G51" i="12"/>
  <c r="H45" i="12"/>
  <c r="I45" i="12"/>
  <c r="J45" i="12"/>
  <c r="G45" i="12"/>
  <c r="D20" i="11"/>
  <c r="D30" i="11"/>
  <c r="R36" i="8" s="1"/>
  <c r="H38" i="12"/>
  <c r="H39" i="12" s="1"/>
  <c r="H40" i="12" s="1"/>
  <c r="I38" i="12"/>
  <c r="I39" i="12" s="1"/>
  <c r="I40" i="12" s="1"/>
  <c r="J38" i="12"/>
  <c r="J39" i="12" s="1"/>
  <c r="J40" i="12" s="1"/>
  <c r="G38" i="12"/>
  <c r="G39" i="12" s="1"/>
  <c r="G40" i="12" s="1"/>
  <c r="F37" i="14"/>
  <c r="F36" i="14"/>
  <c r="F34" i="14"/>
  <c r="G60" i="12" l="1"/>
  <c r="G61" i="12" s="1"/>
  <c r="O59" i="12"/>
  <c r="G19" i="11"/>
  <c r="H19" i="11"/>
  <c r="F46" i="11"/>
  <c r="D46" i="11" s="1"/>
  <c r="D42" i="11"/>
  <c r="D41" i="11"/>
  <c r="D40" i="11"/>
  <c r="D61" i="11"/>
  <c r="D60" i="11"/>
  <c r="D51" i="11"/>
  <c r="D79" i="11"/>
  <c r="D78" i="11"/>
  <c r="F74" i="11"/>
  <c r="D74" i="11" s="1"/>
  <c r="D72" i="11"/>
  <c r="F69" i="11"/>
  <c r="D69" i="11" s="1"/>
  <c r="D68" i="11"/>
  <c r="D57" i="11"/>
  <c r="F67" i="11"/>
  <c r="D67" i="11" s="1"/>
  <c r="D54" i="11"/>
  <c r="D66" i="11"/>
  <c r="D58" i="11"/>
  <c r="A8" i="20" s="1"/>
  <c r="F55" i="11"/>
  <c r="D55" i="11" s="1"/>
  <c r="D63" i="11"/>
  <c r="D56" i="11"/>
  <c r="D59" i="11"/>
  <c r="A7" i="20" s="1"/>
  <c r="D62" i="11"/>
  <c r="O6" i="20" s="1"/>
  <c r="D89" i="11"/>
  <c r="L9" i="4" s="1"/>
  <c r="D53" i="11"/>
  <c r="A5" i="20" s="1"/>
  <c r="O61" i="12" l="1"/>
  <c r="P59" i="12"/>
  <c r="O60" i="12"/>
  <c r="P60" i="12" s="1"/>
  <c r="Q60" i="12" s="1"/>
  <c r="R60" i="12" s="1"/>
  <c r="S60" i="12" s="1"/>
  <c r="P43" i="8"/>
  <c r="F8" i="20"/>
  <c r="F7" i="20"/>
  <c r="G7" i="20"/>
  <c r="H7" i="20"/>
  <c r="I7" i="20"/>
  <c r="J7" i="20"/>
  <c r="D83" i="11"/>
  <c r="F73" i="11"/>
  <c r="D73" i="11" s="1"/>
  <c r="F75" i="11"/>
  <c r="F84" i="11" s="1"/>
  <c r="F70" i="11"/>
  <c r="D70" i="11" s="1"/>
  <c r="D50" i="11"/>
  <c r="M6" i="20" s="1"/>
  <c r="N8" i="12"/>
  <c r="N10" i="12" s="1"/>
  <c r="F5" i="20" s="1"/>
  <c r="D26" i="11"/>
  <c r="F28" i="11"/>
  <c r="F29" i="11" s="1"/>
  <c r="Q59" i="12" l="1"/>
  <c r="P61" i="12"/>
  <c r="F9" i="20"/>
  <c r="F10" i="20" s="1"/>
  <c r="F12" i="20"/>
  <c r="F17" i="15" s="1"/>
  <c r="F18" i="15" s="1"/>
  <c r="G44" i="8"/>
  <c r="G6" i="8"/>
  <c r="F5" i="15"/>
  <c r="K7" i="20"/>
  <c r="F85" i="11"/>
  <c r="D85" i="11" s="1"/>
  <c r="F81" i="11"/>
  <c r="D81" i="11" s="1"/>
  <c r="D75" i="11"/>
  <c r="F80" i="11"/>
  <c r="F76" i="11"/>
  <c r="D76" i="11" s="1"/>
  <c r="R59" i="12" l="1"/>
  <c r="Q61" i="12"/>
  <c r="G6" i="20"/>
  <c r="D80" i="11"/>
  <c r="F39" i="11"/>
  <c r="F43" i="11" s="1"/>
  <c r="D84" i="11"/>
  <c r="S59" i="12" l="1"/>
  <c r="S61" i="12" s="1"/>
  <c r="R61" i="12"/>
  <c r="G8" i="20"/>
  <c r="G12" i="20" s="1"/>
  <c r="G17" i="15" s="1"/>
  <c r="D39" i="11"/>
  <c r="S17" i="15" l="1"/>
  <c r="G9" i="20"/>
  <c r="G10" i="20" s="1"/>
  <c r="H6" i="20" s="1"/>
  <c r="F44" i="11"/>
  <c r="D44" i="11" s="1"/>
  <c r="D20" i="4" s="1"/>
  <c r="D43" i="11"/>
  <c r="G53" i="8" s="1"/>
  <c r="H8" i="20" l="1"/>
  <c r="H12" i="20" s="1"/>
  <c r="H17" i="15" s="1"/>
  <c r="G9" i="12"/>
  <c r="D28" i="11"/>
  <c r="D27" i="11"/>
  <c r="T17" i="15" l="1"/>
  <c r="H9" i="20"/>
  <c r="H10" i="20" s="1"/>
  <c r="I6" i="20" s="1"/>
  <c r="D29" i="11"/>
  <c r="Q36" i="8" s="1"/>
  <c r="D31" i="11"/>
  <c r="D156" i="11"/>
  <c r="R43" i="8" s="1"/>
  <c r="D155" i="11"/>
  <c r="Q43" i="8" s="1"/>
  <c r="D153" i="11"/>
  <c r="P36" i="8" s="1"/>
  <c r="D99" i="11"/>
  <c r="B32" i="4" s="1"/>
  <c r="B9" i="4" s="1"/>
  <c r="D100" i="11"/>
  <c r="C32" i="4" s="1"/>
  <c r="C9" i="4" s="1"/>
  <c r="D101" i="11"/>
  <c r="D32" i="4" s="1"/>
  <c r="D9" i="4" s="1"/>
  <c r="D102" i="11"/>
  <c r="D103" i="11"/>
  <c r="F32" i="4" s="1"/>
  <c r="G9" i="4" s="1"/>
  <c r="D104" i="11"/>
  <c r="G32" i="4" s="1"/>
  <c r="H9" i="4" s="1"/>
  <c r="D95" i="11"/>
  <c r="L22" i="4" s="1"/>
  <c r="D149" i="11"/>
  <c r="G37" i="4" s="1"/>
  <c r="H14" i="4" s="1"/>
  <c r="D148" i="11"/>
  <c r="F37" i="4" s="1"/>
  <c r="G14" i="4" s="1"/>
  <c r="D147" i="11"/>
  <c r="E37" i="4" s="1"/>
  <c r="D146" i="11"/>
  <c r="D37" i="4" s="1"/>
  <c r="D14" i="4" s="1"/>
  <c r="D145" i="11"/>
  <c r="C37" i="4" s="1"/>
  <c r="C14" i="4" s="1"/>
  <c r="D144" i="11"/>
  <c r="B37" i="4" s="1"/>
  <c r="B14" i="4" s="1"/>
  <c r="D140" i="11"/>
  <c r="G36" i="4" s="1"/>
  <c r="H13" i="4" s="1"/>
  <c r="D139" i="11"/>
  <c r="F36" i="4" s="1"/>
  <c r="G13" i="4" s="1"/>
  <c r="D138" i="11"/>
  <c r="E36" i="4" s="1"/>
  <c r="D137" i="11"/>
  <c r="D36" i="4" s="1"/>
  <c r="D13" i="4" s="1"/>
  <c r="D136" i="11"/>
  <c r="C36" i="4" s="1"/>
  <c r="C13" i="4" s="1"/>
  <c r="D135" i="11"/>
  <c r="B36" i="4" s="1"/>
  <c r="B13" i="4" s="1"/>
  <c r="D131" i="11"/>
  <c r="G35" i="4" s="1"/>
  <c r="H12" i="4" s="1"/>
  <c r="D130" i="11"/>
  <c r="F35" i="4" s="1"/>
  <c r="G12" i="4" s="1"/>
  <c r="D129" i="11"/>
  <c r="E35" i="4" s="1"/>
  <c r="D128" i="11"/>
  <c r="D35" i="4" s="1"/>
  <c r="D12" i="4" s="1"/>
  <c r="D127" i="11"/>
  <c r="C35" i="4" s="1"/>
  <c r="C12" i="4" s="1"/>
  <c r="D126" i="11"/>
  <c r="B35" i="4" s="1"/>
  <c r="B12" i="4" s="1"/>
  <c r="D122" i="11"/>
  <c r="G34" i="4" s="1"/>
  <c r="H11" i="4" s="1"/>
  <c r="D121" i="11"/>
  <c r="F34" i="4" s="1"/>
  <c r="G11" i="4" s="1"/>
  <c r="D120" i="11"/>
  <c r="E34" i="4" s="1"/>
  <c r="D119" i="11"/>
  <c r="D34" i="4" s="1"/>
  <c r="D11" i="4" s="1"/>
  <c r="D118" i="11"/>
  <c r="C34" i="4" s="1"/>
  <c r="C11" i="4" s="1"/>
  <c r="D117" i="11"/>
  <c r="B34" i="4" s="1"/>
  <c r="B11" i="4" s="1"/>
  <c r="D113" i="11"/>
  <c r="G33" i="4" s="1"/>
  <c r="H10" i="4" s="1"/>
  <c r="D112" i="11"/>
  <c r="F33" i="4" s="1"/>
  <c r="G10" i="4" s="1"/>
  <c r="D111" i="11"/>
  <c r="E33" i="4" s="1"/>
  <c r="D110" i="11"/>
  <c r="D33" i="4" s="1"/>
  <c r="D10" i="4" s="1"/>
  <c r="D109" i="11"/>
  <c r="C33" i="4" s="1"/>
  <c r="C10" i="4" s="1"/>
  <c r="D108" i="11"/>
  <c r="B33" i="4" s="1"/>
  <c r="B10" i="4" s="1"/>
  <c r="D25" i="11"/>
  <c r="D38" i="11"/>
  <c r="D91" i="11"/>
  <c r="M9" i="4" s="1"/>
  <c r="D24" i="4" s="1"/>
  <c r="D90" i="11"/>
  <c r="C31" i="25" l="1"/>
  <c r="D31" i="25"/>
  <c r="E31" i="25"/>
  <c r="F31" i="25"/>
  <c r="D37" i="25"/>
  <c r="E37" i="25"/>
  <c r="F37" i="25"/>
  <c r="C37" i="25"/>
  <c r="C25" i="25"/>
  <c r="D25" i="25"/>
  <c r="E25" i="25"/>
  <c r="F25" i="25"/>
  <c r="G25" i="25" s="1"/>
  <c r="H25" i="25" s="1"/>
  <c r="I25" i="25" s="1"/>
  <c r="J25" i="25" s="1"/>
  <c r="K25" i="25" s="1"/>
  <c r="H34" i="8"/>
  <c r="I36" i="8" s="1"/>
  <c r="F19" i="15"/>
  <c r="F20" i="15" s="1"/>
  <c r="D21" i="4"/>
  <c r="I8" i="20"/>
  <c r="C4" i="14"/>
  <c r="B6" i="4"/>
  <c r="E14" i="4"/>
  <c r="F14" i="4" s="1"/>
  <c r="E10" i="4"/>
  <c r="F10" i="4" s="1"/>
  <c r="E9" i="4"/>
  <c r="F9" i="4" s="1"/>
  <c r="E13" i="4"/>
  <c r="F13" i="4" s="1"/>
  <c r="E12" i="4"/>
  <c r="F12" i="4" s="1"/>
  <c r="E11" i="4"/>
  <c r="F11" i="4" s="1"/>
  <c r="I13" i="4"/>
  <c r="I10" i="4"/>
  <c r="I14" i="4"/>
  <c r="I12" i="4"/>
  <c r="I9" i="4"/>
  <c r="I11" i="4"/>
  <c r="H36" i="8" l="1"/>
  <c r="I34" i="8"/>
  <c r="G19" i="8"/>
  <c r="G20" i="8" s="1"/>
  <c r="F26" i="15"/>
  <c r="G27" i="8" s="1"/>
  <c r="G28" i="8" s="1"/>
  <c r="F28" i="15"/>
  <c r="G30" i="8" s="1"/>
  <c r="I12" i="20"/>
  <c r="I17" i="15" s="1"/>
  <c r="U17" i="15" s="1"/>
  <c r="I9" i="20"/>
  <c r="I10" i="20" s="1"/>
  <c r="J6" i="20" s="1"/>
  <c r="J8" i="20" s="1"/>
  <c r="J10" i="4"/>
  <c r="J14" i="4"/>
  <c r="J13" i="4"/>
  <c r="J9" i="4"/>
  <c r="J11" i="4"/>
  <c r="J12" i="4"/>
  <c r="J34" i="8" l="1"/>
  <c r="J36" i="8"/>
  <c r="J9" i="20"/>
  <c r="J10" i="20" s="1"/>
  <c r="K6" i="20" s="1"/>
  <c r="J12" i="20"/>
  <c r="J17" i="15" s="1"/>
  <c r="V17" i="15" s="1"/>
  <c r="J16" i="4"/>
  <c r="J17" i="4"/>
  <c r="K34" i="8" l="1"/>
  <c r="K36" i="8"/>
  <c r="K8" i="20"/>
  <c r="K12" i="20" s="1"/>
  <c r="D22" i="4"/>
  <c r="D23" i="4" s="1"/>
  <c r="D25" i="4" s="1"/>
  <c r="S43" i="8" l="1"/>
  <c r="G48" i="8" s="1"/>
  <c r="I47" i="8" s="1"/>
  <c r="L34" i="8"/>
  <c r="L36" i="8"/>
  <c r="G47" i="8" s="1"/>
  <c r="K17" i="15"/>
  <c r="W17" i="15" s="1"/>
  <c r="K9" i="20"/>
  <c r="K10" i="20" s="1"/>
  <c r="H8" i="12"/>
  <c r="H9" i="12" s="1"/>
  <c r="I46" i="8" l="1"/>
  <c r="I45" i="8" s="1"/>
  <c r="I48" i="8"/>
  <c r="I49" i="8" s="1"/>
  <c r="L37" i="8"/>
  <c r="L38" i="8" s="1"/>
  <c r="K37" i="8"/>
  <c r="K38" i="8" s="1"/>
  <c r="J37" i="8"/>
  <c r="J38" i="8" s="1"/>
  <c r="I37" i="8"/>
  <c r="I38" i="8" s="1"/>
  <c r="H37" i="8"/>
  <c r="H38" i="8" s="1"/>
  <c r="M18" i="15"/>
  <c r="M20" i="15" s="1"/>
  <c r="G49" i="8"/>
  <c r="I8" i="12"/>
  <c r="I9" i="12" s="1"/>
  <c r="G10" i="12"/>
  <c r="AA150" i="14"/>
  <c r="Z150" i="14"/>
  <c r="X150" i="14"/>
  <c r="F150" i="14"/>
  <c r="G150" i="14"/>
  <c r="H150" i="14"/>
  <c r="E150" i="14"/>
  <c r="AA149" i="14"/>
  <c r="Z149" i="14"/>
  <c r="Y149" i="14"/>
  <c r="X149" i="14"/>
  <c r="F149" i="14"/>
  <c r="G149" i="14"/>
  <c r="H149" i="14"/>
  <c r="E149" i="14"/>
  <c r="AA148" i="14"/>
  <c r="Z148" i="14"/>
  <c r="X148" i="14"/>
  <c r="AA147" i="14"/>
  <c r="Z147" i="14"/>
  <c r="X147" i="14"/>
  <c r="F147" i="14"/>
  <c r="G147" i="14"/>
  <c r="H147" i="14"/>
  <c r="E147" i="14"/>
  <c r="F148" i="14"/>
  <c r="G148" i="14"/>
  <c r="H148" i="14"/>
  <c r="E148" i="14"/>
  <c r="Y96" i="14"/>
  <c r="Z96" i="14"/>
  <c r="AA96" i="14"/>
  <c r="X96" i="14"/>
  <c r="F96" i="14"/>
  <c r="G96" i="14"/>
  <c r="H96" i="14"/>
  <c r="E96" i="14"/>
  <c r="F95" i="14"/>
  <c r="G95" i="14"/>
  <c r="H95" i="14"/>
  <c r="E95" i="14"/>
  <c r="F94" i="14"/>
  <c r="G94" i="14"/>
  <c r="H94" i="14"/>
  <c r="E94" i="14"/>
  <c r="F93" i="14"/>
  <c r="G93" i="14"/>
  <c r="H93" i="14"/>
  <c r="E93" i="14"/>
  <c r="F89" i="14"/>
  <c r="G89" i="14"/>
  <c r="H89" i="14"/>
  <c r="E89" i="14"/>
  <c r="F91" i="14"/>
  <c r="G91" i="14"/>
  <c r="H91" i="14"/>
  <c r="E91" i="14"/>
  <c r="F90" i="14"/>
  <c r="G90" i="14"/>
  <c r="H90" i="14"/>
  <c r="E90" i="14"/>
  <c r="C2" i="14"/>
  <c r="F145" i="14"/>
  <c r="G145" i="14"/>
  <c r="H145" i="14"/>
  <c r="I145" i="14"/>
  <c r="J145" i="14"/>
  <c r="K145" i="14"/>
  <c r="L145" i="14"/>
  <c r="M145" i="14"/>
  <c r="N145" i="14"/>
  <c r="O145" i="14"/>
  <c r="P145" i="14"/>
  <c r="Q145" i="14"/>
  <c r="R145" i="14"/>
  <c r="S145" i="14"/>
  <c r="T145" i="14"/>
  <c r="U145" i="14"/>
  <c r="V145" i="14"/>
  <c r="W145" i="14"/>
  <c r="X145" i="14"/>
  <c r="Y145" i="14"/>
  <c r="Z145" i="14"/>
  <c r="AA145" i="14"/>
  <c r="E145" i="14"/>
  <c r="AA137" i="14"/>
  <c r="Y137" i="14"/>
  <c r="X137" i="14"/>
  <c r="E86" i="14"/>
  <c r="F86" i="14"/>
  <c r="G86" i="14"/>
  <c r="AA86" i="14"/>
  <c r="Z86" i="14"/>
  <c r="Y86" i="14"/>
  <c r="X86" i="14"/>
  <c r="H86" i="14"/>
  <c r="J8" i="12" l="1"/>
  <c r="J9" i="12" s="1"/>
  <c r="I10" i="12"/>
  <c r="H10" i="12"/>
  <c r="E92" i="14"/>
  <c r="H92" i="14"/>
  <c r="G92" i="14"/>
  <c r="F92" i="14"/>
  <c r="E43" i="14"/>
  <c r="F43" i="14"/>
  <c r="G43" i="14"/>
  <c r="H43" i="14"/>
  <c r="J43" i="14"/>
  <c r="K43" i="14"/>
  <c r="L43" i="14"/>
  <c r="N43" i="14"/>
  <c r="O43" i="14"/>
  <c r="P43" i="14"/>
  <c r="R43" i="14"/>
  <c r="S43" i="14"/>
  <c r="T43" i="14"/>
  <c r="V43" i="14"/>
  <c r="W43" i="14"/>
  <c r="X43" i="14"/>
  <c r="Z43" i="14"/>
  <c r="AA43" i="14"/>
  <c r="F42" i="14"/>
  <c r="G42" i="14"/>
  <c r="H42" i="14"/>
  <c r="J42" i="14"/>
  <c r="K42" i="14"/>
  <c r="L42" i="14"/>
  <c r="N42" i="14"/>
  <c r="O42" i="14"/>
  <c r="P42" i="14"/>
  <c r="R42" i="14"/>
  <c r="S42" i="14"/>
  <c r="T42" i="14"/>
  <c r="V42" i="14"/>
  <c r="W42" i="14"/>
  <c r="X42" i="14"/>
  <c r="Z42" i="14"/>
  <c r="AA42" i="14"/>
  <c r="E42" i="14"/>
  <c r="E40" i="14"/>
  <c r="F40" i="14"/>
  <c r="G40" i="14"/>
  <c r="H40" i="14"/>
  <c r="J40" i="14"/>
  <c r="K40" i="14"/>
  <c r="L40" i="14"/>
  <c r="N40" i="14"/>
  <c r="O40" i="14"/>
  <c r="P40" i="14"/>
  <c r="R40" i="14"/>
  <c r="S40" i="14"/>
  <c r="T40" i="14"/>
  <c r="V40" i="14"/>
  <c r="W40" i="14"/>
  <c r="X40" i="14"/>
  <c r="Z40" i="14"/>
  <c r="AA40" i="14"/>
  <c r="E41" i="14"/>
  <c r="F41" i="14"/>
  <c r="G41" i="14"/>
  <c r="H41" i="14"/>
  <c r="J41" i="14"/>
  <c r="K41" i="14"/>
  <c r="L41" i="14"/>
  <c r="N41" i="14"/>
  <c r="O41" i="14"/>
  <c r="P41" i="14"/>
  <c r="R41" i="14"/>
  <c r="S41" i="14"/>
  <c r="T41" i="14"/>
  <c r="V41" i="14"/>
  <c r="W41" i="14"/>
  <c r="X41" i="14"/>
  <c r="Z41" i="14"/>
  <c r="AA41" i="14"/>
  <c r="F39" i="14"/>
  <c r="G39" i="14"/>
  <c r="H39" i="14"/>
  <c r="J39" i="14"/>
  <c r="K39" i="14"/>
  <c r="L39" i="14"/>
  <c r="N39" i="14"/>
  <c r="O39" i="14"/>
  <c r="P39" i="14"/>
  <c r="R39" i="14"/>
  <c r="S39" i="14"/>
  <c r="T39" i="14"/>
  <c r="V39" i="14"/>
  <c r="W39" i="14"/>
  <c r="X39" i="14"/>
  <c r="Z39" i="14"/>
  <c r="AA39" i="14"/>
  <c r="E39" i="14"/>
  <c r="F44" i="14"/>
  <c r="G44" i="14"/>
  <c r="H44" i="14"/>
  <c r="J44" i="14"/>
  <c r="K44" i="14"/>
  <c r="L44" i="14"/>
  <c r="N44" i="14"/>
  <c r="O44" i="14"/>
  <c r="P44" i="14"/>
  <c r="R44" i="14"/>
  <c r="S44" i="14"/>
  <c r="T44" i="14"/>
  <c r="V44" i="14"/>
  <c r="W44" i="14"/>
  <c r="X44" i="14"/>
  <c r="Z44" i="14"/>
  <c r="AA44" i="14"/>
  <c r="E44" i="14"/>
  <c r="M11" i="14"/>
  <c r="Q11" i="14"/>
  <c r="U11" i="14"/>
  <c r="Y11" i="14"/>
  <c r="M12" i="14"/>
  <c r="Q12" i="14"/>
  <c r="U12" i="14"/>
  <c r="Y12" i="14"/>
  <c r="I12" i="14" s="1"/>
  <c r="I35" i="14" s="1"/>
  <c r="M13" i="14"/>
  <c r="Q13" i="14"/>
  <c r="U13" i="14"/>
  <c r="Y13" i="14"/>
  <c r="M14" i="14"/>
  <c r="Q14" i="14"/>
  <c r="U14" i="14"/>
  <c r="Y14" i="14"/>
  <c r="M15" i="14"/>
  <c r="Q15" i="14"/>
  <c r="U15" i="14"/>
  <c r="Y15" i="14"/>
  <c r="I15" i="14" s="1"/>
  <c r="M16" i="14"/>
  <c r="Q16" i="14"/>
  <c r="U16" i="14"/>
  <c r="Y16" i="14"/>
  <c r="I16" i="14" s="1"/>
  <c r="M17" i="14"/>
  <c r="Q17" i="14"/>
  <c r="U17" i="14"/>
  <c r="Y17" i="14"/>
  <c r="I17" i="14" s="1"/>
  <c r="M18" i="14"/>
  <c r="Q18" i="14"/>
  <c r="U18" i="14"/>
  <c r="Y18" i="14"/>
  <c r="I18" i="14" s="1"/>
  <c r="M19" i="14"/>
  <c r="M41" i="14" s="1"/>
  <c r="Q19" i="14"/>
  <c r="U19" i="14"/>
  <c r="U41" i="14" s="1"/>
  <c r="Y19" i="14"/>
  <c r="I19" i="14" s="1"/>
  <c r="M20" i="14"/>
  <c r="Q20" i="14"/>
  <c r="U20" i="14"/>
  <c r="Y20" i="14"/>
  <c r="I20" i="14" s="1"/>
  <c r="M21" i="14"/>
  <c r="M42" i="14" s="1"/>
  <c r="Q21" i="14"/>
  <c r="U21" i="14"/>
  <c r="U42" i="14" s="1"/>
  <c r="Y21" i="14"/>
  <c r="I21" i="14" s="1"/>
  <c r="M22" i="14"/>
  <c r="Q22" i="14"/>
  <c r="U22" i="14"/>
  <c r="Y22" i="14"/>
  <c r="I22" i="14" s="1"/>
  <c r="M23" i="14"/>
  <c r="Q23" i="14"/>
  <c r="U23" i="14"/>
  <c r="Y23" i="14"/>
  <c r="I23" i="14" s="1"/>
  <c r="M24" i="14"/>
  <c r="Q24" i="14"/>
  <c r="U24" i="14"/>
  <c r="Y24" i="14"/>
  <c r="I24" i="14" s="1"/>
  <c r="M25" i="14"/>
  <c r="Q25" i="14"/>
  <c r="U25" i="14"/>
  <c r="Y25" i="14"/>
  <c r="I25" i="14" s="1"/>
  <c r="E38" i="14"/>
  <c r="F38" i="14"/>
  <c r="G38" i="14"/>
  <c r="H38" i="14"/>
  <c r="J38" i="14"/>
  <c r="K38" i="14"/>
  <c r="L38" i="14"/>
  <c r="N38" i="14"/>
  <c r="O38" i="14"/>
  <c r="P38" i="14"/>
  <c r="R38" i="14"/>
  <c r="S38" i="14"/>
  <c r="T38" i="14"/>
  <c r="V38" i="14"/>
  <c r="W38" i="14"/>
  <c r="X38" i="14"/>
  <c r="Z38" i="14"/>
  <c r="AA38" i="14"/>
  <c r="G37" i="14"/>
  <c r="H37" i="14"/>
  <c r="J37" i="14"/>
  <c r="K37" i="14"/>
  <c r="L37" i="14"/>
  <c r="N37" i="14"/>
  <c r="O37" i="14"/>
  <c r="P37" i="14"/>
  <c r="R37" i="14"/>
  <c r="S37" i="14"/>
  <c r="T37" i="14"/>
  <c r="V37" i="14"/>
  <c r="W37" i="14"/>
  <c r="X37" i="14"/>
  <c r="Z37" i="14"/>
  <c r="AA37" i="14"/>
  <c r="E37" i="14"/>
  <c r="AA36" i="14"/>
  <c r="Z36" i="14"/>
  <c r="X36" i="14"/>
  <c r="W36" i="14"/>
  <c r="V36" i="14"/>
  <c r="T36" i="14"/>
  <c r="S36" i="14"/>
  <c r="R36" i="14"/>
  <c r="P36" i="14"/>
  <c r="O36" i="14"/>
  <c r="N36" i="14"/>
  <c r="AA35" i="14"/>
  <c r="Z35" i="14"/>
  <c r="X35" i="14"/>
  <c r="W35" i="14"/>
  <c r="V35" i="14"/>
  <c r="T35" i="14"/>
  <c r="S35" i="14"/>
  <c r="R35" i="14"/>
  <c r="P35" i="14"/>
  <c r="O35" i="14"/>
  <c r="N35" i="14"/>
  <c r="O34" i="14"/>
  <c r="P34" i="14"/>
  <c r="R34" i="14"/>
  <c r="S34" i="14"/>
  <c r="T34" i="14"/>
  <c r="V34" i="14"/>
  <c r="W34" i="14"/>
  <c r="X34" i="14"/>
  <c r="Z34" i="14"/>
  <c r="AA34" i="14"/>
  <c r="N34" i="14"/>
  <c r="H36" i="14"/>
  <c r="G36" i="14"/>
  <c r="E36" i="14"/>
  <c r="H35" i="14"/>
  <c r="G35" i="14"/>
  <c r="F35" i="14"/>
  <c r="E35" i="14"/>
  <c r="G34" i="14"/>
  <c r="H34" i="14"/>
  <c r="E34" i="14"/>
  <c r="D5" i="11"/>
  <c r="F64" i="11" s="1"/>
  <c r="D64" i="11" s="1"/>
  <c r="D21" i="11"/>
  <c r="E7" i="12" l="1"/>
  <c r="I11" i="14"/>
  <c r="I34" i="14" s="1"/>
  <c r="K8" i="12"/>
  <c r="J10" i="12"/>
  <c r="F19" i="11"/>
  <c r="Y150" i="14"/>
  <c r="Y147" i="14"/>
  <c r="Y148" i="14"/>
  <c r="Y95" i="14"/>
  <c r="Y94" i="14"/>
  <c r="Y93" i="14"/>
  <c r="Y89" i="14"/>
  <c r="AA95" i="14"/>
  <c r="AA93" i="14"/>
  <c r="AA89" i="14"/>
  <c r="Z95" i="14"/>
  <c r="Z94" i="14"/>
  <c r="Z93" i="14"/>
  <c r="Z89" i="14"/>
  <c r="AA94" i="14"/>
  <c r="X94" i="14"/>
  <c r="X89" i="14"/>
  <c r="X95" i="14"/>
  <c r="X93" i="14"/>
  <c r="I14" i="14"/>
  <c r="AA91" i="14"/>
  <c r="AA90" i="14"/>
  <c r="Y90" i="14"/>
  <c r="Z90" i="14"/>
  <c r="Y91" i="14"/>
  <c r="Z91" i="14"/>
  <c r="X91" i="14"/>
  <c r="X90" i="14"/>
  <c r="M39" i="14"/>
  <c r="Q42" i="14"/>
  <c r="Q41" i="14"/>
  <c r="Q39" i="14"/>
  <c r="I13" i="14"/>
  <c r="I40" i="14" s="1"/>
  <c r="U39" i="14"/>
  <c r="U43" i="14"/>
  <c r="M43" i="14"/>
  <c r="Y42" i="14"/>
  <c r="Q43" i="14"/>
  <c r="Y43" i="14"/>
  <c r="Q40" i="14"/>
  <c r="M40" i="14"/>
  <c r="U40" i="14"/>
  <c r="Y40" i="14"/>
  <c r="Y39" i="14"/>
  <c r="Y41" i="14"/>
  <c r="I44" i="14"/>
  <c r="Q44" i="14"/>
  <c r="Q34" i="14"/>
  <c r="M44" i="14"/>
  <c r="U44" i="14"/>
  <c r="Y44" i="14"/>
  <c r="Q36" i="14"/>
  <c r="Y34" i="14"/>
  <c r="Q37" i="14"/>
  <c r="Q38" i="14"/>
  <c r="M37" i="14"/>
  <c r="I38" i="14"/>
  <c r="U38" i="14"/>
  <c r="U36" i="14"/>
  <c r="U34" i="14"/>
  <c r="M38" i="14"/>
  <c r="Q35" i="14"/>
  <c r="U37" i="14"/>
  <c r="U35" i="14"/>
  <c r="Y35" i="14"/>
  <c r="Y37" i="14"/>
  <c r="I37" i="14"/>
  <c r="Y36" i="14"/>
  <c r="O78" i="12" l="1"/>
  <c r="G16" i="15" s="1"/>
  <c r="S16" i="15" s="1"/>
  <c r="O24" i="12"/>
  <c r="O14" i="12" s="1"/>
  <c r="N30" i="12"/>
  <c r="O30" i="12"/>
  <c r="R30" i="12"/>
  <c r="S30" i="12"/>
  <c r="P30" i="12"/>
  <c r="Q30" i="12"/>
  <c r="O51" i="12"/>
  <c r="G10" i="15" s="1"/>
  <c r="S10" i="15" s="1"/>
  <c r="O36" i="12"/>
  <c r="G7" i="15" s="1"/>
  <c r="M28" i="15"/>
  <c r="M26" i="15"/>
  <c r="K45" i="12"/>
  <c r="K10" i="12"/>
  <c r="K9" i="12"/>
  <c r="L8" i="12"/>
  <c r="L9" i="12" s="1"/>
  <c r="O8" i="12"/>
  <c r="O9" i="12" s="1"/>
  <c r="AA92" i="14"/>
  <c r="Y92" i="14"/>
  <c r="X92" i="14"/>
  <c r="Z92" i="14"/>
  <c r="I36" i="14"/>
  <c r="I39" i="14"/>
  <c r="I42" i="14"/>
  <c r="I43" i="14"/>
  <c r="I41" i="14"/>
  <c r="P24" i="12" l="1"/>
  <c r="Q24" i="12" s="1"/>
  <c r="R24" i="12" s="1"/>
  <c r="S24" i="12" s="1"/>
  <c r="P78" i="12"/>
  <c r="H16" i="15" s="1"/>
  <c r="T16" i="15" s="1"/>
  <c r="P51" i="12"/>
  <c r="H10" i="15" s="1"/>
  <c r="T10" i="15" s="1"/>
  <c r="S7" i="15"/>
  <c r="H10" i="8"/>
  <c r="H11" i="8" s="1"/>
  <c r="P36" i="12"/>
  <c r="Q18" i="12"/>
  <c r="P8" i="12"/>
  <c r="P9" i="12" s="1"/>
  <c r="O10" i="12"/>
  <c r="S5" i="15" s="1"/>
  <c r="L10" i="12"/>
  <c r="Q78" i="12" l="1"/>
  <c r="R78" i="12" s="1"/>
  <c r="Q51" i="12"/>
  <c r="H7" i="15"/>
  <c r="Q36" i="12"/>
  <c r="R18" i="12"/>
  <c r="G5" i="15"/>
  <c r="M5" i="15"/>
  <c r="H6" i="8"/>
  <c r="G5" i="20"/>
  <c r="H35" i="8"/>
  <c r="Q8" i="12"/>
  <c r="Q9" i="12" s="1"/>
  <c r="P10" i="12"/>
  <c r="T5" i="15" s="1"/>
  <c r="I16" i="15" l="1"/>
  <c r="U16" i="15" s="1"/>
  <c r="R51" i="12"/>
  <c r="I10" i="15"/>
  <c r="U10" i="15" s="1"/>
  <c r="J16" i="15"/>
  <c r="V16" i="15" s="1"/>
  <c r="S78" i="12"/>
  <c r="K16" i="15" s="1"/>
  <c r="W16" i="15" s="1"/>
  <c r="I7" i="15"/>
  <c r="R36" i="12"/>
  <c r="T7" i="15"/>
  <c r="I10" i="8"/>
  <c r="I11" i="8" s="1"/>
  <c r="S18" i="12"/>
  <c r="H5" i="15"/>
  <c r="N5" i="15"/>
  <c r="I6" i="8"/>
  <c r="H5" i="20"/>
  <c r="I35" i="8"/>
  <c r="R8" i="12"/>
  <c r="R9" i="12" s="1"/>
  <c r="Q10" i="12"/>
  <c r="U5" i="15" s="1"/>
  <c r="S51" i="12" l="1"/>
  <c r="K10" i="15" s="1"/>
  <c r="W10" i="15" s="1"/>
  <c r="J10" i="15"/>
  <c r="V10" i="15" s="1"/>
  <c r="J7" i="15"/>
  <c r="S36" i="12"/>
  <c r="U7" i="15"/>
  <c r="J10" i="8"/>
  <c r="O5" i="15"/>
  <c r="I5" i="15"/>
  <c r="J6" i="8"/>
  <c r="I5" i="20"/>
  <c r="J35" i="8"/>
  <c r="R10" i="12"/>
  <c r="V5" i="15" s="1"/>
  <c r="S8" i="12"/>
  <c r="K7" i="15" l="1"/>
  <c r="W7" i="15" s="1"/>
  <c r="J11" i="8"/>
  <c r="V7" i="15"/>
  <c r="K10" i="8"/>
  <c r="K11" i="8" s="1"/>
  <c r="P5" i="15"/>
  <c r="J5" i="15"/>
  <c r="K6" i="8"/>
  <c r="J5" i="20"/>
  <c r="K35" i="8"/>
  <c r="S10" i="12"/>
  <c r="W5" i="15" s="1"/>
  <c r="S9" i="12"/>
  <c r="L10" i="8" l="1"/>
  <c r="N10" i="8" s="1"/>
  <c r="Q5" i="15"/>
  <c r="K5" i="15"/>
  <c r="L6" i="8"/>
  <c r="N5" i="8" s="1"/>
  <c r="K5" i="20"/>
  <c r="L35" i="8"/>
  <c r="L11" i="8" l="1"/>
  <c r="M10" i="8"/>
  <c r="O63" i="12" l="1"/>
  <c r="O57" i="12" l="1"/>
  <c r="O90" i="12"/>
  <c r="O84" i="12"/>
  <c r="O69" i="12"/>
  <c r="O42" i="12"/>
  <c r="O45" i="12" s="1"/>
  <c r="G29" i="25" s="1"/>
  <c r="G35" i="25" s="1"/>
  <c r="O16" i="12"/>
  <c r="P14" i="12"/>
  <c r="G24" i="25"/>
  <c r="G13" i="25" s="1"/>
  <c r="P63" i="12" l="1"/>
  <c r="H24" i="25"/>
  <c r="H13" i="25" s="1"/>
  <c r="G13" i="15"/>
  <c r="S13" i="15" s="1"/>
  <c r="G6" i="15"/>
  <c r="S6" i="15" s="1"/>
  <c r="P90" i="12"/>
  <c r="P57" i="12"/>
  <c r="G12" i="15"/>
  <c r="S12" i="15" s="1"/>
  <c r="G23" i="15"/>
  <c r="P84" i="12"/>
  <c r="G21" i="15"/>
  <c r="O43" i="12"/>
  <c r="G14" i="15"/>
  <c r="P69" i="12"/>
  <c r="P16" i="12"/>
  <c r="P42" i="12"/>
  <c r="G12" i="25"/>
  <c r="G8" i="25"/>
  <c r="Q14" i="12"/>
  <c r="I24" i="25" l="1"/>
  <c r="I13" i="25" s="1"/>
  <c r="Q16" i="12"/>
  <c r="Q57" i="12"/>
  <c r="Q63" i="12"/>
  <c r="H13" i="15"/>
  <c r="T13" i="15" s="1"/>
  <c r="G8" i="15"/>
  <c r="S8" i="15" s="1"/>
  <c r="H7" i="8"/>
  <c r="H8" i="8" s="1"/>
  <c r="P43" i="12"/>
  <c r="P45" i="12"/>
  <c r="G9" i="15"/>
  <c r="S9" i="15" s="1"/>
  <c r="H12" i="15"/>
  <c r="T12" i="15" s="1"/>
  <c r="H12" i="25"/>
  <c r="Q84" i="12"/>
  <c r="Q90" i="12"/>
  <c r="S23" i="15"/>
  <c r="H24" i="8"/>
  <c r="H23" i="15"/>
  <c r="H8" i="25"/>
  <c r="H21" i="15"/>
  <c r="H22" i="8"/>
  <c r="S21" i="15"/>
  <c r="H14" i="15"/>
  <c r="Q69" i="12"/>
  <c r="S14" i="15"/>
  <c r="H16" i="8"/>
  <c r="H17" i="8" s="1"/>
  <c r="H6" i="15"/>
  <c r="H8" i="15" s="1"/>
  <c r="R14" i="12"/>
  <c r="J24" i="25" s="1"/>
  <c r="S14" i="12"/>
  <c r="K24" i="25" s="1"/>
  <c r="Q42" i="12"/>
  <c r="Q45" i="12" s="1"/>
  <c r="S11" i="15" l="1"/>
  <c r="S15" i="15" s="1"/>
  <c r="S57" i="12"/>
  <c r="S63" i="12"/>
  <c r="R57" i="12"/>
  <c r="R63" i="12"/>
  <c r="I13" i="15"/>
  <c r="U13" i="15" s="1"/>
  <c r="H13" i="8"/>
  <c r="H14" i="8" s="1"/>
  <c r="G11" i="15"/>
  <c r="G15" i="15" s="1"/>
  <c r="G18" i="15" s="1"/>
  <c r="G19" i="15" s="1"/>
  <c r="S19" i="15" s="1"/>
  <c r="S20" i="15" s="1"/>
  <c r="H9" i="15"/>
  <c r="T9" i="15" s="1"/>
  <c r="H29" i="25"/>
  <c r="H35" i="25" s="1"/>
  <c r="G7" i="25"/>
  <c r="I12" i="15"/>
  <c r="U12" i="15" s="1"/>
  <c r="S84" i="12"/>
  <c r="S90" i="12"/>
  <c r="R84" i="12"/>
  <c r="R90" i="12"/>
  <c r="T23" i="15"/>
  <c r="I24" i="8"/>
  <c r="I23" i="15"/>
  <c r="I22" i="8"/>
  <c r="T21" i="15"/>
  <c r="I21" i="15"/>
  <c r="I14" i="15"/>
  <c r="R69" i="12"/>
  <c r="T14" i="15"/>
  <c r="I16" i="8"/>
  <c r="I17" i="8" s="1"/>
  <c r="T6" i="15"/>
  <c r="I7" i="8"/>
  <c r="I8" i="8" s="1"/>
  <c r="I12" i="25"/>
  <c r="I8" i="25"/>
  <c r="I6" i="15"/>
  <c r="Q43" i="12"/>
  <c r="S16" i="12"/>
  <c r="K13" i="25"/>
  <c r="S42" i="12"/>
  <c r="S45" i="12" s="1"/>
  <c r="T8" i="15"/>
  <c r="I13" i="8"/>
  <c r="R42" i="12"/>
  <c r="R45" i="12" s="1"/>
  <c r="J13" i="25"/>
  <c r="R16" i="12"/>
  <c r="G28" i="25" l="1"/>
  <c r="I14" i="8"/>
  <c r="J13" i="15"/>
  <c r="V13" i="15" s="1"/>
  <c r="K13" i="15"/>
  <c r="W13" i="15" s="1"/>
  <c r="H11" i="15"/>
  <c r="H15" i="15" s="1"/>
  <c r="H18" i="15" s="1"/>
  <c r="H19" i="15" s="1"/>
  <c r="T19" i="15" s="1"/>
  <c r="T11" i="15"/>
  <c r="T15" i="15" s="1"/>
  <c r="T18" i="15" s="1"/>
  <c r="G20" i="15"/>
  <c r="H19" i="8" s="1"/>
  <c r="H20" i="8" s="1"/>
  <c r="I9" i="15"/>
  <c r="U9" i="15" s="1"/>
  <c r="I29" i="25"/>
  <c r="I35" i="25" s="1"/>
  <c r="H7" i="25"/>
  <c r="K12" i="15"/>
  <c r="W12" i="15" s="1"/>
  <c r="J12" i="15"/>
  <c r="V12" i="15" s="1"/>
  <c r="U23" i="15"/>
  <c r="J24" i="8"/>
  <c r="K23" i="15"/>
  <c r="J23" i="15"/>
  <c r="J21" i="15"/>
  <c r="K21" i="15"/>
  <c r="U21" i="15"/>
  <c r="J22" i="8"/>
  <c r="J14" i="15"/>
  <c r="S69" i="12"/>
  <c r="K14" i="15" s="1"/>
  <c r="U14" i="15"/>
  <c r="J16" i="8"/>
  <c r="J17" i="8" s="1"/>
  <c r="J8" i="25"/>
  <c r="J12" i="25"/>
  <c r="U6" i="15"/>
  <c r="J7" i="8"/>
  <c r="J8" i="8" s="1"/>
  <c r="I8" i="15"/>
  <c r="K6" i="15"/>
  <c r="S43" i="12"/>
  <c r="R43" i="12"/>
  <c r="J6" i="15"/>
  <c r="K12" i="25"/>
  <c r="K8" i="25"/>
  <c r="H28" i="25" l="1"/>
  <c r="I7" i="25"/>
  <c r="J9" i="15"/>
  <c r="V9" i="15" s="1"/>
  <c r="J29" i="25"/>
  <c r="J35" i="25" s="1"/>
  <c r="K24" i="8"/>
  <c r="V23" i="15"/>
  <c r="W23" i="15"/>
  <c r="L24" i="8"/>
  <c r="W21" i="15"/>
  <c r="L22" i="8"/>
  <c r="V21" i="15"/>
  <c r="K22" i="8"/>
  <c r="T20" i="15"/>
  <c r="W14" i="15"/>
  <c r="L16" i="8"/>
  <c r="V14" i="15"/>
  <c r="K16" i="8"/>
  <c r="K17" i="8" s="1"/>
  <c r="L7" i="8"/>
  <c r="W6" i="15"/>
  <c r="K8" i="15"/>
  <c r="V6" i="15"/>
  <c r="K7" i="8"/>
  <c r="K8" i="8" s="1"/>
  <c r="J8" i="15"/>
  <c r="J13" i="8"/>
  <c r="J14" i="8" s="1"/>
  <c r="U8" i="15"/>
  <c r="U11" i="15" s="1"/>
  <c r="U15" i="15" s="1"/>
  <c r="U18" i="15" s="1"/>
  <c r="I11" i="15"/>
  <c r="I15" i="15" s="1"/>
  <c r="I18" i="15" s="1"/>
  <c r="H20" i="15"/>
  <c r="I28" i="25" l="1"/>
  <c r="J7" i="25"/>
  <c r="K9" i="15"/>
  <c r="W9" i="15" s="1"/>
  <c r="K29" i="25"/>
  <c r="K35" i="25" s="1"/>
  <c r="L17" i="8"/>
  <c r="W8" i="15"/>
  <c r="L13" i="8"/>
  <c r="V8" i="15"/>
  <c r="V11" i="15" s="1"/>
  <c r="V15" i="15" s="1"/>
  <c r="V18" i="15" s="1"/>
  <c r="K13" i="8"/>
  <c r="K14" i="8" s="1"/>
  <c r="J11" i="15"/>
  <c r="J15" i="15" s="1"/>
  <c r="J18" i="15" s="1"/>
  <c r="I19" i="8"/>
  <c r="I20" i="8" s="1"/>
  <c r="I19" i="15"/>
  <c r="U19" i="15" s="1"/>
  <c r="U20" i="15" s="1"/>
  <c r="L8" i="8"/>
  <c r="N7" i="8"/>
  <c r="M7" i="8"/>
  <c r="J28" i="25" l="1"/>
  <c r="K11" i="15"/>
  <c r="K15" i="15" s="1"/>
  <c r="K18" i="15" s="1"/>
  <c r="K19" i="15" s="1"/>
  <c r="W19" i="15" s="1"/>
  <c r="W11" i="15"/>
  <c r="W15" i="15" s="1"/>
  <c r="W18" i="15" s="1"/>
  <c r="K7" i="25"/>
  <c r="K28" i="25" s="1"/>
  <c r="I20" i="15"/>
  <c r="N13" i="8"/>
  <c r="M13" i="8"/>
  <c r="L14" i="8"/>
  <c r="J19" i="15"/>
  <c r="V19" i="15" s="1"/>
  <c r="V20" i="15" s="1"/>
  <c r="W20" i="15" l="1"/>
  <c r="J19" i="8"/>
  <c r="J20" i="8" s="1"/>
  <c r="J20" i="15"/>
  <c r="K19" i="8" s="1"/>
  <c r="K20" i="8" s="1"/>
  <c r="K20" i="15"/>
  <c r="L19" i="8" l="1"/>
  <c r="N19" i="8" l="1"/>
  <c r="L20" i="8"/>
  <c r="M19" i="8"/>
  <c r="K6" i="25" l="1"/>
  <c r="J6" i="25"/>
  <c r="I6" i="25"/>
  <c r="H6" i="25"/>
  <c r="G6" i="25"/>
  <c r="I23" i="25" l="1"/>
  <c r="J23" i="25"/>
  <c r="G23" i="25"/>
  <c r="H23" i="25"/>
  <c r="K23" i="25"/>
  <c r="K9" i="25"/>
  <c r="H9" i="25"/>
  <c r="I9" i="25"/>
  <c r="G9" i="25"/>
  <c r="J9" i="25"/>
  <c r="K11" i="25"/>
  <c r="K16" i="25" s="1"/>
  <c r="J11" i="25"/>
  <c r="J16" i="25" s="1"/>
  <c r="I11" i="25"/>
  <c r="I16" i="25" s="1"/>
  <c r="H11" i="25"/>
  <c r="H16" i="25" s="1"/>
  <c r="G11" i="25"/>
  <c r="G34" i="25" s="1"/>
  <c r="H14" i="25" l="1"/>
  <c r="J14" i="25"/>
  <c r="I14" i="25"/>
  <c r="K14" i="25"/>
  <c r="K18" i="25"/>
  <c r="S96" i="12" s="1"/>
  <c r="K24" i="15" s="1"/>
  <c r="L25" i="8" s="1"/>
  <c r="I18" i="25"/>
  <c r="Q96" i="12" s="1"/>
  <c r="I24" i="15" s="1"/>
  <c r="U24" i="15" s="1"/>
  <c r="J18" i="25"/>
  <c r="R96" i="12" s="1"/>
  <c r="J24" i="15" s="1"/>
  <c r="J26" i="15" s="1"/>
  <c r="J34" i="25"/>
  <c r="H34" i="25"/>
  <c r="K34" i="25"/>
  <c r="G16" i="25"/>
  <c r="G18" i="25" s="1"/>
  <c r="O96" i="12" s="1"/>
  <c r="G24" i="15" s="1"/>
  <c r="S24" i="15" s="1"/>
  <c r="I34" i="25"/>
  <c r="G14" i="25"/>
  <c r="H18" i="25" l="1"/>
  <c r="P96" i="12" s="1"/>
  <c r="H24" i="15" s="1"/>
  <c r="H28" i="15" s="1"/>
  <c r="I30" i="8" s="1"/>
  <c r="J25" i="8"/>
  <c r="K28" i="15"/>
  <c r="L30" i="8" s="1"/>
  <c r="M30" i="8" s="1"/>
  <c r="K26" i="15"/>
  <c r="W26" i="15" s="1"/>
  <c r="I28" i="15"/>
  <c r="J30" i="8" s="1"/>
  <c r="W24" i="15"/>
  <c r="I26" i="15"/>
  <c r="J27" i="8" s="1"/>
  <c r="J39" i="8" s="1"/>
  <c r="K25" i="8"/>
  <c r="V24" i="15"/>
  <c r="J28" i="15"/>
  <c r="K30" i="8" s="1"/>
  <c r="H25" i="8"/>
  <c r="G28" i="15"/>
  <c r="H30" i="8" s="1"/>
  <c r="G26" i="15"/>
  <c r="H27" i="8" s="1"/>
  <c r="K27" i="8"/>
  <c r="V26" i="15"/>
  <c r="T24" i="15" l="1"/>
  <c r="H26" i="15"/>
  <c r="I27" i="8" s="1"/>
  <c r="I25" i="8"/>
  <c r="L27" i="8"/>
  <c r="M27" i="8" s="1"/>
  <c r="N30" i="8"/>
  <c r="U26" i="15"/>
  <c r="S26" i="15"/>
  <c r="H28" i="8"/>
  <c r="H39" i="8"/>
  <c r="K28" i="8"/>
  <c r="K39" i="8"/>
  <c r="T26" i="15" l="1"/>
  <c r="L28" i="8"/>
  <c r="L39" i="8"/>
  <c r="N27" i="8"/>
  <c r="G43" i="8"/>
  <c r="G46" i="8" s="1"/>
  <c r="G50" i="8" s="1"/>
  <c r="I28" i="8"/>
  <c r="I39" i="8"/>
  <c r="J28" i="8"/>
  <c r="G39" i="8" l="1"/>
  <c r="G51" i="8" s="1"/>
  <c r="G52" i="8" s="1"/>
  <c r="G54" i="8" s="1"/>
  <c r="I44" i="8" l="1"/>
  <c r="V44" i="8" l="1"/>
  <c r="V45" i="8"/>
  <c r="V46" i="8"/>
  <c r="V47" i="8"/>
  <c r="W44" i="8" l="1"/>
  <c r="X44" i="8"/>
  <c r="W45" i="8"/>
  <c r="X45" i="8"/>
  <c r="W46" i="8"/>
  <c r="X46" i="8"/>
  <c r="W47" i="8"/>
  <c r="X4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sonia</author>
  </authors>
  <commentList>
    <comment ref="A1" authorId="0" shapeId="0" xr:uid="{8ECDBA41-7149-46A4-9958-0D0F6675A644}">
      <text>
        <r>
          <rPr>
            <b/>
            <sz val="9"/>
            <color indexed="81"/>
            <rFont val="Tahoma"/>
            <family val="2"/>
          </rPr>
          <t>&lt;?xml version="1.0" encoding="utf-8"?&gt;&lt;Schema xmlns:xsd="http://www.w3.org/2001/XMLSchema" xmlns:xsi="http://www.w3.org/2001/XMLSchema-instance" Version="2" Timestamp="1739160878"&gt;&lt;FQL&gt;&lt;Q&gt;HES^FF_ENTRPR_VAL_EBITDA_OPER(ANN_R,-2AY)&lt;/Q&gt;&lt;R&gt;1&lt;/R&gt;&lt;C&gt;1&lt;/C&gt;&lt;D xsi:type="xsd:double"&gt;7.77912834645669&lt;/D&gt;&lt;/FQL&gt;&lt;FQL&gt;&lt;Q&gt;HES^P_SP_RATING&lt;/Q&gt;&lt;R&gt;1&lt;/R&gt;&lt;C&gt;1&lt;/C&gt;&lt;D xsi:type="xsd:string"&gt;B-&lt;/D&gt;&lt;/FQL&gt;&lt;FQL&gt;&lt;Q&gt;HES^FF_EBIT_OPER_INT_COVG(LTM_R,0)&lt;/Q&gt;&lt;R&gt;1&lt;/R&gt;&lt;C&gt;1&lt;/C&gt;&lt;D xsi:type="xsd:double"&gt;10.0732673267327&lt;/D&gt;&lt;/FQL&gt;&lt;FQL&gt;&lt;Q&gt;HES^FF_INT_EXP_NET(ANN_R,0)&lt;/Q&gt;&lt;R&gt;1&lt;/R&gt;&lt;C&gt;1&lt;/C&gt;&lt;D xsi:type="xsd:double"&gt;487&lt;/D&gt;&lt;/FQL&gt;&lt;FQL&gt;&lt;Q&gt;HES^FF_NET_DEBT(ANN_R,0)&lt;/Q&gt;&lt;R&gt;1&lt;/R&gt;&lt;C&gt;1&lt;/C&gt;&lt;D xsi:type="xsd:double"&gt;6664&lt;/D&gt;&lt;/FQL&gt;&lt;FQL&gt;&lt;Q&gt;HES^FG_TD_TO_EBITDA_OPER(0)&lt;/Q&gt;&lt;R&gt;1&lt;/R&gt;&lt;C&gt;1&lt;/C&gt;&lt;D xsi:type="xsd:double"&gt;1.47319272258896&lt;/D&gt;&lt;/FQL&gt;&lt;FQL&gt;&lt;Q&gt;HES^FF_TOT_DEBT_TCAP_STD(ANN_R,0)&lt;/Q&gt;&lt;R&gt;1&lt;/R&gt;&lt;C&gt;1&lt;/C&gt;&lt;D xsi:type="xsd:double"&gt;53.8077036165834&lt;/D&gt;&lt;/FQL&gt;&lt;FQL&gt;&lt;Q&gt;HES^FF_DIV_YLD(ANN,0)&lt;/Q&gt;&lt;R&gt;1&lt;/R&gt;&lt;C&gt;1&lt;/C&gt;&lt;D xsi:type="xsd:double"&gt;1.05767874770836&lt;/D&gt;&lt;/FQL&gt;&lt;FQL&gt;&lt;Q&gt;HES^FF_ROA(ANN_R,0)&lt;/Q&gt;&lt;R&gt;1&lt;/R&gt;&lt;C&gt;1&lt;/C&gt;&lt;D xsi:type="xsd:double"&gt;9.93129590144516&lt;/D&gt;&lt;/FQL&gt;&lt;FQL&gt;&lt;Q&gt;HES^FF_ROE(ANN_R,0)&lt;/Q&gt;&lt;R&gt;1&lt;/R&gt;&lt;C&gt;1&lt;/C&gt;&lt;D xsi:type="xsd:double"&gt;29.6149770399152&lt;/D&gt;&lt;/FQL&gt;&lt;FQL&gt;&lt;Q&gt;HES^FF_ROIC(ANN_R,0)&lt;/Q&gt;&lt;R&gt;1&lt;/R&gt;&lt;C&gt;1&lt;/C&gt;&lt;D xsi:type="xsd:double"&gt;13.2591093117409&lt;/D&gt;&lt;/FQL&gt;&lt;FQL&gt;&lt;Q&gt;EOG^FF_PE(ANN_R,0Y)&lt;/Q&gt;&lt;R&gt;1&lt;/R&gt;&lt;C&gt;1&lt;/C&gt;&lt;D xsi:type="xsd:double"&gt;9.79868513629039&lt;/D&gt;&lt;/FQL&gt;&lt;FQL&gt;&lt;Q&gt;EOG^FF_PE(ANN_R,-1AY)&lt;/Q&gt;&lt;R&gt;1&lt;/R&gt;&lt;C&gt;1&lt;/C&gt;&lt;D xsi:type="xsd:double"&gt;11.1227977912175&lt;/D&gt;&lt;/FQL&gt;&lt;FQL&gt;&lt;Q&gt;DVN^FF_ENTRPR_VAL_EBITDA_OPER(ANN_R,0Y)&lt;/Q&gt;&lt;R&gt;1&lt;/R&gt;&lt;C&gt;1&lt;/C&gt;&lt;D xsi:type="xsd:double"&gt;4.72211525423729&lt;/D&gt;&lt;/FQL&gt;&lt;FQL&gt;&lt;Q&gt;DVN^FF_ENTRPR_VAL_EBITDA_OPER(ANN_R,-2AY)&lt;/Q&gt;&lt;R&gt;1&lt;/R&gt;&lt;C&gt;1&lt;/C&gt;&lt;D xsi:type="xsd:double"&gt;4.85619627507163&lt;/D&gt;&lt;/FQL&gt;&lt;FQL&gt;&lt;Q&gt;EOG^P_SP_RATING&lt;/Q&gt;&lt;R&gt;1&lt;/R&gt;&lt;C&gt;1&lt;/C&gt;&lt;D xsi:type="xsd:string"&gt;B-&lt;/D&gt;&lt;/FQL&gt;&lt;FQL&gt;&lt;Q&gt;EOG^FF_EBIT_OPER_INT_COVG(LTM_R,0)&lt;/Q&gt;&lt;R&gt;1&lt;/R&gt;&lt;C&gt;1&lt;/C&gt;&lt;D xsi:type="xsd:double"&gt;65.5767441860465&lt;/D&gt;&lt;/FQL&gt;&lt;FQL&gt;&lt;Q&gt;EOG^FF_INT_EXP_NET(ANN_R,0)&lt;/Q&gt;&lt;R&gt;1&lt;/R&gt;&lt;C&gt;1&lt;/C&gt;&lt;D xsi:type="xsd:double"&gt;179&lt;/D&gt;&lt;/FQL&gt;&lt;FQL&gt;&lt;Q&gt;EOG^FF_NET_DEBT(ANN_R,0)&lt;/Q&gt;&lt;R&gt;1&lt;/R&gt;&lt;C&gt;1&lt;/C&gt;&lt;D xsi:type="xsd:double"&gt;-14&lt;/D&gt;&lt;/FQL&gt;&lt;FQL&gt;&lt;Q&gt;EOG^FG_TD_TO_EBITDA_OPER(0)&lt;/Q&gt;&lt;R&gt;1&lt;/R&gt;&lt;C&gt;1&lt;/C&gt;&lt;D xsi:type="xsd:double"&gt;0.333912458667264&lt;/D&gt;&lt;/FQL&gt;&lt;FQL&gt;&lt;Q&gt;EOG^FF_TOT_DEBT_TCAP_STD(ANN_R,0)&lt;/Q&gt;&lt;R&gt;1&lt;/R&gt;&lt;C&gt;1&lt;/C&gt;&lt;D xsi:type="xsd:double"&gt;19.3838045352507&lt;/D&gt;&lt;/FQL&gt;&lt;FQL&gt;&lt;Q&gt;EOG^FF_DIV_YLD(ANN,0)&lt;/Q&gt;&lt;R&gt;1&lt;/R&gt;&lt;C&gt;1&lt;/C&gt;&lt;D xsi:type="xsd:double"&gt;6.85222359481161&lt;/D&gt;&lt;/FQL&gt;&lt;FQL&gt;&lt;Q&gt;EOG^FF_ROA(ANN_R,0)&lt;/Q&gt;&lt;R&gt;1&lt;/R&gt;&lt;C&gt;1&lt;/C&gt;&lt;D xsi:type="xsd:double"&gt;19.4932606429083&lt;/D&gt;&lt;/FQL&gt;&lt;FQL&gt;&lt;Q&gt;EOG^FF_ROE(ANN_R,0)&lt;/Q&gt;&lt;R&gt;1&lt;/R&gt;&lt;C&gt;1&lt;/C&gt;&lt;D xsi:type="xsd:double"&gt;33.0458485061437&lt;/D&gt;&lt;/FQL&gt;&lt;FQL&gt;&lt;Q&gt;EOG^FF_ROIC(ANN_R,0)&lt;/Q&gt;&lt;R&gt;1&lt;/R&gt;&lt;C&gt;1&lt;/C&gt;&lt;D xsi:type="xsd:double"&gt;27.2398539530965&lt;/D&gt;&lt;/FQL&gt;&lt;FQL&gt;&lt;Q&gt;DVN^FF_PE(ANN_R,0Y)&lt;/Q&gt;&lt;R&gt;1&lt;/R&gt;&lt;C&gt;1&lt;/C&gt;&lt;D xsi:type="xsd:double"&gt;6.7415607189829&lt;/D&gt;&lt;/FQL&gt;&lt;FQL&gt;&lt;Q&gt;DVN^FF_PE(ANN_R,-1AY)&lt;/Q&gt;&lt;R&gt;1&lt;/R&gt;&lt;C&gt;1&lt;/C&gt;&lt;D xsi:type="xsd:double"&gt;10.5256869772999&lt;/D&gt;&lt;/FQL&gt;&lt;FQL&gt;&lt;Q&gt;COP^FF_ENTRPR_VAL_EBITDA_OPER(ANN_R,NOW)&lt;/Q&gt;&lt;R&gt;1&lt;/R&gt;&lt;C&gt;1&lt;/C&gt;&lt;D xsi:type="xsd:double"&gt;6.4902266324269&lt;/D&gt;&lt;/FQL&gt;&lt;FQL&gt;&lt;Q&gt;EOG^FF_ENTRPR_VAL_EBITDA_OPER(ANN_R,-1AY)&lt;/Q&gt;&lt;R&gt;1&lt;/R&gt;&lt;C&gt;1&lt;/C&gt;&lt;D xsi:type="xsd:double"&gt;4.21085243512862&lt;/D&gt;&lt;/FQL&gt;&lt;FQL&gt;&lt;Q&gt;DVN^P_SP_RATING&lt;/Q&gt;&lt;R&gt;1&lt;/R&gt;&lt;C&gt;1&lt;/C&gt;&lt;D xsi:type="xsd:string"&gt;B-&lt;/D&gt;&lt;/FQL&gt;&lt;FQL&gt;&lt;Q&gt;DVN^FF_EBIT_OPER_INT_COVG(LTM_R,0)&lt;/Q&gt;&lt;R&gt;1&lt;/R&gt;&lt;C&gt;1&lt;/C&gt;&lt;D xsi:type="xsd:double"&gt;27.0864553314121&lt;/D&gt;&lt;/FQL&gt;&lt;FQL&gt;&lt;Q&gt;DVN^FF_INT_EXP_NET(ANN_R,0)&lt;/Q&gt;&lt;R&gt;1&lt;/R&gt;&lt;C&gt;1&lt;/C&gt;&lt;D xsi:type="xsd:double"&gt;347&lt;/D&gt;&lt;/FQL&gt;&lt;FQL&gt;&lt;Q&gt;DVN^FF_NET_DEBT(ANN_R,0)&lt;/Q&gt;&lt;R&gt;1&lt;/R&gt;&lt;C&gt;1&lt;/C&gt;&lt;D xsi:type="xsd:double"&gt;5264&lt;/D&gt;&lt;/FQL&gt;&lt;FQL&gt;&lt;Q&gt;DVN^FG_TD_TO_EBITDA_OPER(0)&lt;/Q&gt;&lt;R&gt;1&lt;/R&gt;&lt;C&gt;1&lt;/C&gt;&lt;D xsi:type="xsd:double"&gt;0.61985606200406&lt;/D&gt;&lt;/FQL&gt;&lt;FQL&gt;&lt;Q&gt;DVN^FF_TOT_DEBT_TCAP_STD(ANN_R,0)&lt;/Q&gt;&lt;R&gt;1&lt;/R&gt;&lt;C&gt;1&lt;/C&gt;&lt;D xsi:type="xsd:double"&gt;37.5622029633771&lt;/D&gt;&lt;/FQL&gt;&lt;FQL&gt;&lt;Q&gt;DVN^FF_DIV_YLD(ANN,0)&lt;/Q&gt;&lt;R&gt;1&lt;/R&gt;&lt;C&gt;1&lt;/C&gt;&lt;D xsi:type="xsd:double"&gt;5.99902454885385&lt;/D&gt;&lt;/FQL&gt;&lt;FQL&gt;&lt;Q&gt;DVN^FF_ROA(ANN_R,0)&lt;/Q&gt;&lt;R&gt;1&lt;/R&gt;&lt;C&gt;1&lt;/C&gt;&lt;D xsi:type="xsd:double"&gt;26.630313324096&lt;/D&gt;&lt;/FQL&gt;&lt;FQL&gt;&lt;Q&gt;DVN^FF_ROE(ANN_R,0)&lt;/Q&gt;&lt;R&gt;1&lt;/R&gt;&lt;C&gt;1&lt;/C&gt;&lt;D xsi:type="xsd:double"&gt;58.3288462479808&lt;/D&gt;&lt;/FQL&gt;&lt;FQL&gt;&lt;Q&gt;DVN^FF_ROIC(ANN_R,0)&lt;/Q&gt;&lt;R&gt;1&lt;/R&gt;&lt;C&gt;1&lt;/C&gt;&lt;D xsi:type="xsd:double"&gt;35.4547888958315&lt;/D&gt;&lt;/FQL&gt;&lt;FQL&gt;&lt;Q&gt;COP^FF_PE(ANN_R,0Y)&lt;/Q&gt;&lt;R&gt;1&lt;/R&gt;&lt;C&gt;1&lt;/C&gt;&lt;D xsi:type="xsd:double"&gt;8.10005628852675&lt;/D&gt;&lt;/FQL&gt;&lt;FQL&gt;&lt;Q&gt;EOG^FF_EPS_DIL(ANN_R,-1AY)&lt;/Q&gt;&lt;R&gt;1&lt;/R&gt;&lt;C&gt;1&lt;/C&gt;&lt;D xsi:type="xsd:double"&gt;13.2181&lt;/D&gt;&lt;/FQL&gt;&lt;FQL&gt;&lt;Q&gt;DVN^FF_EBITDA_OPER(ANN_R,-1AY)&lt;/Q&gt;&lt;R&gt;1&lt;/R&gt;&lt;C&gt;1&lt;/C&gt;&lt;D xsi:type="xsd:double"&gt;10838&lt;/D&gt;&lt;/FQL&gt;&lt;FQL&gt;&lt;Q&gt;COP^FF_EPS_DIL(ANN_R,-1AY)&lt;/Q&gt;&lt;R&gt;1&lt;/R&gt;&lt;C&gt;1&lt;/C&gt;&lt;D xsi:type="xsd:double"&gt;9.0588&lt;/D&gt;&lt;/FQL&gt;&lt;FQL&gt;&lt;Q&gt;HES^FE_ESTIMATE(EPS,MEAN,ANN_ROLL,+1,NOW,,,'')&lt;/Q&gt;&lt;R&gt;1&lt;/R&gt;&lt;C&gt;1&lt;/C&gt;&lt;D xsi:type="xsd:double"&gt;8.045405&lt;/D&gt;&lt;/FQL&gt;&lt;FQL&gt;&lt;Q&gt;DVN^FF_LTD_TCAP(ANN_R,0)&lt;/Q&gt;&lt;R&gt;1&lt;/R&gt;&lt;C&gt;1&lt;/C&gt;&lt;D xsi:type="xsd:double"&gt;36.0413754542913&lt;/D&gt;&lt;/FQL&gt;&lt;FQL&gt;&lt;Q&gt;EOG^FE_ESTIMATE(EBITDA,MEAN,ANN_ROLL,+1,NOW,,,'')&lt;/Q&gt;&lt;R&gt;1&lt;/R&gt;&lt;C&gt;1&lt;/C&gt;&lt;D xsi:type="xsd:double"&gt;12902.463&lt;/D&gt;&lt;/FQL&gt;&lt;FQL&gt;&lt;Q&gt;DVN^FF_EPS_DIL(ANN_R,-1AY)&lt;/Q&gt;&lt;R&gt;1&lt;/R&gt;&lt;C&gt;1&lt;/C&gt;&lt;D xsi:type="xsd:double"&gt;9.124&lt;/D&gt;&lt;/FQL&gt;&lt;FQL&gt;&lt;Q&gt;EOG^FF_SALES(ANN_R,0)&lt;/Q&gt;&lt;R&gt;1&lt;/R&gt;&lt;C&gt;1&lt;/C&gt;&lt;D xsi:type="xsd:double"&gt;23273&lt;/D&gt;&lt;/FQL&gt;&lt;FQL&gt;&lt;Q&gt;EOG^FF_SALES_GR(ANN_R,0)&lt;/Q&gt;&lt;R&gt;1&lt;/R&gt;&lt;C&gt;1&lt;/C&gt;&lt;D xsi:type="xsd:double"&gt;-21.4015535292131&lt;/D&gt;&lt;/FQL&gt;&lt;FQL&gt;&lt;Q&gt;COP^FF_SALES_GR(ANN_R,0)&lt;/Q&gt;&lt;R&gt;1&lt;/R&gt;&lt;C&gt;1&lt;/C&gt;&lt;D xsi:type="xsd:double"&gt;-2.33699045580234&lt;/D&gt;&lt;/FQL&gt;&lt;FQL&gt;&lt;Q&gt;HES^FE_ESTIMATE(SALES,MEAN,ANN_ROLL,+1,NOW,,,'')&lt;/Q&gt;&lt;R&gt;1&lt;/R&gt;&lt;C&gt;1&lt;/C&gt;&lt;D xsi:type="xsd:double"&gt;12258.486&lt;/D&gt;&lt;/FQL&gt;&lt;FQL&gt;&lt;Q&gt;DVN^FE_ESTIMATE(SALES,MEAN,ANN_ROLL,+1,NOW,,,'')&lt;/Q&gt;&lt;R&gt;1&lt;/R&gt;&lt;C&gt;1&lt;/C&gt;&lt;D xsi:type="xsd:double"&gt;15532.522&lt;/D&gt;&lt;/FQL&gt;&lt;FQL&gt;&lt;Q&gt;COP^FF_DIV_YLD(ANN,0)&lt;/Q&gt;&lt;R&gt;1&lt;/R&gt;&lt;C&gt;1&lt;/C&gt;&lt;D xsi:type="xsd:double"&gt;1.60169491525424&lt;/D&gt;&lt;/FQL&gt;&lt;FQL&gt;&lt;Q&gt;COP^FF_ENTRPR_VAL(ANN_R,+1)&lt;/Q&gt;&lt;R&gt;0&lt;/R&gt;&lt;C&gt;0&lt;/C&gt;&lt;/FQL&gt;&lt;FQL&gt;&lt;Q&gt;COP^FF_EBIT_OPER(ANN_R,0)&lt;/Q&gt;&lt;R&gt;1&lt;/R&gt;&lt;C&gt;1&lt;/C&gt;&lt;D xsi:type="xsd:double"&gt;12783&lt;/D&gt;&lt;/FQL&gt;&lt;FQL&gt;&lt;Q&gt;COP^FE_ESTIMATE(EBITDA,MEAN,ANN_ROLL,+2,NOW,,,'')&lt;/Q&gt;&lt;R&gt;1&lt;/R&gt;&lt;C&gt;1&lt;/C&gt;&lt;D xsi:type="xsd:double"&gt;29534.74&lt;/D&gt;&lt;/FQL&gt;&lt;FQL&gt;&lt;Q&gt;DVN^FF_SALES(ANN_R,0)&lt;/Q&gt;&lt;R&gt;1&lt;/R&gt;&lt;C&gt;1&lt;/C&gt;&lt;D xsi:type="xsd:double"&gt;15140&lt;/D&gt;&lt;/FQL&gt;&lt;FQL&gt;&lt;Q&gt;EOG^FF_ENTRPR_VAL(ANN_R,0)&lt;/Q&gt;&lt;R&gt;1&lt;/R&gt;&lt;C&gt;1&lt;/C&gt;&lt;D xsi:type="xsd:double"&gt;70156.8&lt;/D&gt;&lt;/FQL&gt;&lt;FQL&gt;&lt;Q&gt;EOG^FF_NET_INC(ANN_R,0)&lt;/Q&gt;&lt;R&gt;1&lt;/R&gt;&lt;C&gt;1&lt;/C&gt;&lt;D xsi:type="xsd:double"&gt;7594&lt;/D&gt;&lt;/FQL&gt;&lt;FQL&gt;&lt;Q&gt;EOG^FF_LTD_TCAP(ANN_R,0)&lt;/Q&gt;&lt;R&gt;1&lt;/R&gt;&lt;C&gt;1&lt;/C&gt;&lt;D xsi:type="xsd:double"&gt;14.2466733903764&lt;/D&gt;&lt;/FQL&gt;&lt;FQL&gt;&lt;Q&gt;EOG^FF_EBIT_OPER(ANN_R,0)&lt;/Q&gt;&lt;R&gt;1&lt;/R&gt;&lt;C&gt;1&lt;/C&gt;&lt;D xsi:type="xsd:double"&gt;8767&lt;/D&gt;&lt;/FQL&gt;&lt;FQL&gt;&lt;Q&gt;EOG^FREF_MARKET_VALUE_COMPANY(0,,,,,0,,"LEGACY")&lt;/Q&gt;&lt;R&gt;1&lt;/R&gt;&lt;C&gt;1&lt;/C&gt;&lt;D xsi:type="xsd:double"&gt;71149.9805908203&lt;/D&gt;&lt;/FQL&gt;&lt;FQL&gt;&lt;Q&gt;DVN^FF_GROSS_INC(ANN_R,0)&lt;/Q&gt;&lt;R&gt;1&lt;/R&gt;&lt;C&gt;1&lt;/C&gt;&lt;D xsi:type="xsd:double"&gt;5200&lt;/D&gt;&lt;/FQL&gt;&lt;FQL&gt;&lt;Q&gt;HES^FREF_MARKET_VALUE_COMPANY(0,,,,,0,,"LEGACY")&lt;/Q&gt;&lt;R&gt;1&lt;/R&gt;&lt;C&gt;1&lt;/C&gt;&lt;D xsi:type="xsd:double"&gt;44042.4242098834&lt;/D&gt;&lt;/FQL&gt;&lt;FQL&gt;&lt;Q&gt;EOG^FE_ESTIMATE(EBITDA,MEAN,ANN_ROLL,+2,NOW,,,'')&lt;/Q&gt;&lt;R&gt;1&lt;/R&gt;&lt;C&gt;1&lt;/C&gt;&lt;D xsi:type="xsd:double"&gt;12721.839&lt;/D&gt;&lt;/FQL&gt;&lt;FQL&gt;&lt;Q&gt;COP^FREF_MARKET_VALUE_COMPANY(0,,,,,0,,"LEGACY")&lt;/Q&gt;&lt;R&gt;1&lt;/R&gt;&lt;C&gt;1&lt;/C&gt;&lt;D xsi:type="xsd:double"&gt;127234.77226902&lt;/D&gt;&lt;/FQL&gt;&lt;FQL&gt;&lt;Q&gt;DVN^FF_EBIT_OPER(ANN_R,0)&lt;/Q&gt;&lt;R&gt;1&lt;/R&gt;&lt;C&gt;1&lt;/C&gt;&lt;D xsi:type="xsd:double"&gt;4792&lt;/D&gt;&lt;/FQL&gt;&lt;FQL&gt;&lt;Q&gt;DVN^FE_ESTIMATE(EPS,MEAN,ANN_ROLL,+1,NOW,,,'')&lt;/Q&gt;&lt;R&gt;1&lt;/R&gt;&lt;C&gt;1&lt;/C&gt;&lt;D xsi:type="xsd:double"&gt;4.707563&lt;/D&gt;&lt;/FQL&gt;&lt;FQL&gt;&lt;Q&gt;DVN^FREF_MARKET_VALUE_COMPANY(0,,,,,0,,"LEGACY")&lt;/Q&gt;&lt;R&gt;1&lt;/R&gt;&lt;C&gt;1&lt;/C&gt;&lt;D xsi:type="xsd:double"&gt;21776.2368116761&lt;/D&gt;&lt;/FQL&gt;&lt;FQL&gt;&lt;Q&gt;COP^FF_GROSS_INC(ANN_R,0)&lt;/Q&gt;&lt;R&gt;1&lt;/R&gt;&lt;C&gt;1&lt;/C&gt;&lt;D xsi:type="xsd:double"&gt;16028&lt;/D&gt;&lt;/FQL&gt;&lt;FQL&gt;&lt;Q&gt;COP^FF_SALES(ANN_R,0)&lt;/Q&gt;&lt;R&gt;1&lt;/R&gt;&lt;C&gt;1&lt;/C&gt;&lt;D xsi:type="xsd:double"&gt;54745&lt;/D&gt;&lt;/FQL&gt;&lt;FQL&gt;&lt;Q&gt;COP^FF_NET_INC(ANN_R,0)&lt;/Q&gt;&lt;R&gt;1&lt;/R&gt;&lt;C&gt;1&lt;/C&gt;&lt;D xsi:type="xsd:double"&gt;9245&lt;/D&gt;&lt;/FQL&gt;&lt;FQL&gt;&lt;Q&gt;DVN^FF_NET_INC(ANN_R,0)&lt;/Q&gt;&lt;R&gt;1&lt;/R&gt;&lt;C&gt;1&lt;/C&gt;&lt;D xsi:type="xsd:double"&gt;3747&lt;/D&gt;&lt;/FQL&gt;&lt;FQL&gt;&lt;Q&gt;HES^FF_GROSS_INC(ANN_R,0)&lt;/Q&gt;&lt;R&gt;1&lt;/R&gt;&lt;C&gt;1&lt;/C&gt;&lt;D xsi:type="xsd:double"&gt;5268&lt;/D&gt;&lt;/FQL&gt;&lt;FQL&gt;&lt;Q&gt;HES^FF_LTD_TCAP(ANN_R,0)&lt;/Q&gt;&lt;R&gt;1&lt;/R&gt;&lt;C&gt;1&lt;/C&gt;&lt;D xsi:type="xsd:double"&gt;52.4904439870626&lt;/D&gt;&lt;/FQL&gt;&lt;FQL&gt;&lt;Q&gt;HES^FF_EBITDA_OPER(ANN_R,-1AY)&lt;/Q&gt;&lt;R&gt;1&lt;/R&gt;&lt;C&gt;1&lt;/C&gt;&lt;D xsi:type="xsd:double"&gt;5359&lt;/D&gt;&lt;/FQL&gt;&lt;FQL&gt;&lt;Q&gt;HES^FG_PRICE(0)&lt;/Q&gt;&lt;R&gt;1&lt;/R&gt;&lt;C&gt;1&lt;/C&gt;&lt;D xsi:type="xsd:double"&gt;138.95&lt;/D&gt;&lt;/FQL&gt;&lt;FQL&gt;&lt;Q&gt;EOG^FG_PRICE(0)&lt;/Q&gt;&lt;R&gt;1&lt;/R&gt;&lt;C&gt;1&lt;/C&gt;&lt;D xsi:type="xsd:double"&gt;114.26&lt;/D&gt;&lt;/FQL&gt;&lt;FQL&gt;&lt;Q&gt;DVN^FG_PRICE(0)&lt;/Q&gt;&lt;R&gt;1&lt;/R&gt;&lt;C&gt;1&lt;/C&gt;&lt;D xsi:type="xsd:double"&gt;55&lt;/D&gt;&lt;/FQL&gt;&lt;FQL&gt;&lt;Q&gt;COP^FG_PRICE(0)&lt;/Q&gt;&lt;R&gt;1&lt;/R&gt;&lt;C&gt;1&lt;/C&gt;&lt;D xsi:type="xsd:double"&gt;105.25&lt;/D&gt;&lt;/FQL&gt;&lt;FQL&gt;&lt;Q&gt;DVN^FG_COMPANY_NAME&lt;/Q&gt;&lt;R&gt;1&lt;/R&gt;&lt;C&gt;1&lt;/C&gt;&lt;D xsi:type="xsd:string"&gt;Devon Energy Corporation&lt;/D&gt;&lt;/FQL&gt;&lt;FQL&gt;&lt;Q&gt;COP^FG_COMPANY_NAME&lt;/Q&gt;&lt;R&gt;1&lt;/R&gt;&lt;C&gt;1&lt;/C&gt;&lt;D xsi:type="xsd:string"&gt;ConocoPhillips&lt;/D&gt;&lt;/FQL&gt;&lt;FQL&gt;&lt;Q&gt;DVN^FF_ENTRPR_VAL(ANN_R,0)&lt;/Q&gt;&lt;R&gt;1&lt;/R&gt;&lt;C&gt;1&lt;/C&gt;&lt;D xsi:type="xsd:double"&gt;34846.6&lt;/D&gt;&lt;/FQL&gt;&lt;FQL&gt;&lt;Q&gt;HES^FG_COMPANY_NAME&lt;/Q&gt;&lt;R&gt;1&lt;/R&gt;&lt;C&gt;1&lt;/C&gt;&lt;D xsi:type="xsd:string"&gt;Hess Corporation&lt;/D&gt;&lt;/FQL&gt;&lt;FQL&gt;&lt;Q&gt;EOG^FG_COMPANY_NAME&lt;/Q&gt;&lt;R&gt;1&lt;/R&gt;&lt;C&gt;1&lt;/C&gt;&lt;D xsi:type="xsd:string"&gt;EOG Resources, Inc.&lt;/D&gt;&lt;/FQL&gt;&lt;FQL&gt;&lt;Q&gt;COP^FF_PE(ANN_R,-1AY)&lt;/Q&gt;&lt;R&gt;1&lt;/R&gt;&lt;C&gt;1&lt;/C&gt;&lt;D xsi:type="xsd:double"&gt;11.8660507323809&lt;/D&gt;&lt;/FQL&gt;&lt;FQL&gt;&lt;Q&gt;HES^FF_ENTRPR_VAL_EBITDA_OPER(ANN_R,0Y)&lt;/Q&gt;&lt;R&gt;1&lt;/R&gt;&lt;C&gt;1&lt;/C&gt;&lt;D xsi:type="xsd:double"&gt;9.7151737264415&lt;/D&gt;&lt;/FQL&gt;&lt;FQL&gt;&lt;Q&gt;EOG^FF_ENTRPR_VAL_EBITDA_OPER(ANN_R,-2AY)&lt;/Q&gt;&lt;R&gt;1&lt;/R&gt;&lt;C&gt;1&lt;/C&gt;&lt;D xsi:type="xsd:double"&gt;4.56786237318041&lt;/D&gt;&lt;/FQL&gt;&lt;FQL&gt;&lt;Q&gt;COP^P_SP_RATING&lt;/Q&gt;&lt;R&gt;1&lt;/R&gt;&lt;C&gt;1&lt;/C&gt;&lt;D xsi:type="xsd:string"&gt;B-&lt;/D&gt;&lt;/FQL&gt;&lt;FQL&gt;&lt;Q&gt;COP^FF_EBIT_OPER_INT_COVG(LTM_R,0)&lt;/Q&gt;&lt;R&gt;1&lt;/R&gt;&lt;C&gt;1&lt;/C&gt;&lt;D xsi:type="xsd:double"&gt;24.2521327014218&lt;/D&gt;&lt;/FQL&gt;&lt;FQL&gt;&lt;Q&gt;COP^FF_INT_EXP_NET(ANN_R,0)&lt;/Q&gt;&lt;R&gt;1&lt;/R&gt;&lt;C&gt;1&lt;/C&gt;&lt;D xsi:type="xsd:double"&gt;1055&lt;/D&gt;&lt;/FQL&gt;&lt;FQL&gt;&lt;Q&gt;COP^FF_EPS(ANN_R, 0AY)&lt;/Q&gt;&lt;R&gt;1&lt;/R&gt;&lt;C&gt;1&lt;/C&gt;&lt;D xsi:type="xsd:double"&gt;14.5678&lt;/D&gt;&lt;/FQL&gt;&lt;FQL&gt;&lt;Q&gt;COP^FF_NET_DEBT(ANN_R,0)&lt;/Q&gt;&lt;R&gt;1&lt;/R&gt;&lt;C&gt;1&lt;/C&gt;&lt;D xsi:type="xsd:double"&gt;7945&lt;/D&gt;&lt;/FQL&gt;&lt;FQL&gt;&lt;Q&gt;COP^FG_TD_TO_EBITDA_OPER(0)&lt;/Q&gt;&lt;R&gt;1&lt;/R&gt;&lt;C&gt;1&lt;/C&gt;&lt;D xsi:type="xsd:double"&gt;0.51330446468568&lt;/D&gt;&lt;/FQL&gt;&lt;FQL&gt;&lt;Q&gt;COP^FF_TOT_DEBT_TCAP_STD(ANN_R,0)&lt;/Q&gt;&lt;R&gt;1&lt;/R&gt;&lt;C&gt;1&lt;/C&gt;&lt;D xsi:type="xsd:double"&gt;26.3656026138577&lt;/D&gt;&lt;/FQL&gt;&lt;FQL&gt;&lt;Q&gt;COP^FF_ROA(ANN_R,0)&lt;/Q&gt;&lt;R&gt;1&lt;/R&gt;&lt;C&gt;1&lt;/C&gt;&lt;D xsi:type="xsd:double"&gt;20.1853759011329&lt;/D&gt;&lt;/FQL&gt;&lt;FQL&gt;&lt;Q&gt;COP^FF_ROE(ANN_R,0)&lt;/Q&gt;&lt;R&gt;1&lt;/R&gt;&lt;C&gt;1&lt;/C&gt;&lt;D xsi:type="xsd:double"&gt;39.8676787033369&lt;/D&gt;&lt;/FQL&gt;&lt;FQL&gt;&lt;Q&gt;DVN^FF_EPS(ANN_R, 0AY)&lt;/Q&gt;&lt;R&gt;1&lt;/R&gt;&lt;C&gt;1&lt;/C&gt;&lt;D xsi:type="xsd:double"&gt;9.124&lt;/D&gt;&lt;/FQL&gt;&lt;FQL&gt;&lt;Q&gt;COP^FF_ROIC(ANN_R,0)&lt;/Q&gt;&lt;R&gt;1&lt;/R&gt;&lt;C&gt;1&lt;/C&gt;&lt;D xsi:type="xsd:double"&gt;28.8150543957659&lt;/D&gt;&lt;/FQL&gt;&lt;FQL&gt;&lt;Q&gt;HES^FF_SALES_GR(ANN_R,0)&lt;/Q&gt;&lt;R&gt;1&lt;/R&gt;&lt;C&gt;1&lt;/C&gt;&lt;D xsi:type="xsd:double"&gt;20.5121016727409&lt;/D&gt;&lt;/FQL&gt;&lt;FQL&gt;&lt;Q&gt;DVN^FF_EPS_DIL(ANN_R, 0AY)&lt;/Q&gt;&lt;R&gt;1&lt;/R&gt;&lt;C&gt;1&lt;/C&gt;&lt;D xsi:type="xsd:double"&gt;5.8364&lt;/D&gt;&lt;/FQL&gt;&lt;FQL&gt;&lt;Q&gt;HES^FF_NET_INC(ANN_R,0)&lt;/Q&gt;&lt;R&gt;1&lt;/R&gt;&lt;C&gt;1&lt;/C&gt;&lt;D xsi:type="xsd:double"&gt;2769&lt;/D&gt;&lt;/FQL&gt;&lt;FQL&gt;&lt;Q&gt;HES^FE_ESTIMATE(EBITDA,MEAN,ANN_ROLL,+1,NOW,,,'')&lt;/Q&gt;&lt;R&gt;1&lt;/R&gt;&lt;C&gt;1&lt;/C&gt;&lt;D xsi:type="xsd:double"&gt;6850.7236&lt;/D&gt;&lt;/FQL&gt;&lt;FQL&gt;&lt;Q&gt;EOG^FF_EPS(ANN_R, 0AY)&lt;/Q&gt;&lt;R&gt;1&lt;/R&gt;&lt;C&gt;1&lt;/C&gt;&lt;D xsi:type="xsd:double"&gt;13.2181&lt;/D&gt;&lt;/FQL&gt;&lt;FQL&gt;&lt;Q&gt;HES^FF_EBITDA_OPER(ANN_R,0)&lt;/Q&gt;&lt;R&gt;1&lt;/R&gt;&lt;C&gt;1&lt;/C&gt;&lt;D xsi:type="xsd:double"&gt;7263&lt;/D&gt;&lt;/FQL&gt;&lt;FQL&gt;&lt;Q&gt;EOG^FE_ESTIMATE(SALES,MEAN,ANN_ROLL,+1,NOW,,,'')&lt;/Q&gt;&lt;R&gt;1&lt;/R&gt;&lt;C&gt;1&lt;/C&gt;&lt;D xsi:type="xsd:double"&gt;23715.854&lt;/D&gt;&lt;/FQL&gt;&lt;FQL&gt;&lt;Q&gt;COP^FE_ESTIMATE(SALES,MEAN,ANN_ROLL,+1,NOW,,,'')&lt;/Q&gt;&lt;R&gt;1&lt;/R&gt;&lt;C&gt;1&lt;/C&gt;&lt;D xsi:type="xsd:double"&gt;63884.777&lt;/D&gt;&lt;/FQL&gt;&lt;FQL&gt;&lt;Q&gt;HES^FF_EPS_DIL(ANN_R, 0AY)&lt;/Q&gt;&lt;R&gt;1&lt;/R&gt;&lt;C&gt;1&lt;/C&gt;&lt;D xsi:type="xsd:double"&gt;8.9815&lt;/D&gt;&lt;/FQL&gt;&lt;FQL&gt;&lt;Q&gt;HES^FF_EPS_DIL(ANN_R,-1AY)&lt;/Q&gt;&lt;R&gt;1&lt;/R&gt;&lt;C&gt;1&lt;/C&gt;&lt;D xsi:type="xsd:double"&gt;4.4928&lt;/D&gt;&lt;/FQL&gt;&lt;FQL&gt;&lt;Q&gt;HES^FF_EPS(ANN_R, 0AY)&lt;/Q&gt;&lt;R&gt;1&lt;/R&gt;&lt;C&gt;1&lt;/C&gt;&lt;D xsi:type="xsd:double"&gt;6.77&lt;/D&gt;&lt;/FQL&gt;&lt;FQL&gt;&lt;Q&gt;EOG^FE_ESTIMATE(EPS,MEAN,ANN_ROLL,+1,NOW,,,'')&lt;/Q&gt;&lt;R&gt;1&lt;/R&gt;&lt;C&gt;1&lt;/C&gt;&lt;D xsi:type="xsd:double"&gt;11.509887&lt;/D&gt;&lt;/FQL&gt;&lt;FQL&gt;&lt;Q&gt;EOG^FF_EBITDA_OPER(ANN_R,-1AY)&lt;/Q&gt;&lt;R&gt;1&lt;/R&gt;&lt;C&gt;1&lt;/C&gt;&lt;D xsi:type="xsd:double"&gt;17843&lt;/D&gt;&lt;/FQL&gt;&lt;FQL&gt;&lt;Q&gt;DVN^FF_SALES_GR(ANN_R,0)&lt;/Q&gt;&lt;R&gt;1&lt;/R&gt;&lt;C&gt;1&lt;/C&gt;&lt;D xsi:type="xsd:double"&gt;-23.6394815151057&lt;/D&gt;&lt;/FQL&gt;&lt;FQL&gt;&lt;Q&gt;COP^FF_ENTRPR_VAL(ANN_R,0)&lt;/Q&gt;&lt;R&gt;1&lt;/R&gt;&lt;C&gt;1&lt;/C&gt;&lt;D xsi:type="xsd:double"&gt;135316.97707&lt;/D&gt;&lt;/FQL&gt;&lt;FQL&gt;&lt;Q&gt;COP^FF_LTD_TCAP(ANN_R,0)&lt;/Q&gt;&lt;R&gt;1&lt;/R&gt;&lt;C&gt;1&lt;/C&gt;&lt;D xsi:type="xsd:double"&gt;25.4881808838643&lt;/D&gt;&lt;/FQL&gt;&lt;FQL&gt;&lt;Q&gt;HES^FF_SALES(ANN_R,0)&lt;/Q&gt;&lt;R&gt;1&lt;/R&gt;&lt;C&gt;1&lt;/C&gt;&lt;D xsi:type="xsd:double"&gt;12896&lt;/D&gt;&lt;/FQL&gt;&lt;FQL&gt;&lt;Q&gt;HES^FE_ESTIMATE(EBITDA,MEAN,ANN_ROLL,+2,NOW,,,'')&lt;/Q&gt;&lt;R&gt;1&lt;/R&gt;&lt;C&gt;1&lt;/C&gt;&lt;D xsi:type="xsd:double"&gt;8573&lt;/D&gt;&lt;/FQL&gt;&lt;FQL&gt;&lt;Q&gt;EOG^FF_EPS_DIL(ANN_R, 0AY)&lt;/Q&gt;&lt;R&gt;1&lt;/R&gt;&lt;C&gt;1&lt;/C&gt;&lt;D xsi:type="xsd:double"&gt;13.0034&lt;/D&gt;&lt;/FQL&gt;&lt;FQL&gt;&lt;Q&gt;DVN^FE_ESTIMATE(EBITDA,MEAN,ANN_ROLL,+1,NOW,,,'')&lt;/Q&gt;&lt;R&gt;1&lt;/R&gt;&lt;C&gt;1&lt;/C&gt;&lt;D xsi:type="xsd:double"&gt;7522.959&lt;/D&gt;&lt;/FQL&gt;&lt;FQL&gt;&lt;Q&gt;EOG^FF_GROSS_INC(ANN_R,0)&lt;/Q&gt;&lt;R&gt;1&lt;/R&gt;&lt;C&gt;1&lt;/C&gt;&lt;D xsi:type="xsd:double"&gt;10691&lt;/D&gt;&lt;/FQL&gt;&lt;FQL&gt;&lt;Q&gt;COP^FE_ESTIMATE(EPS,MEAN,ANN_ROLL,+1,NOW,,,'')&lt;/Q&gt;&lt;R&gt;1&lt;/R&gt;&lt;C&gt;1&lt;/C&gt;&lt;D xsi:type="xsd:double"&gt;8.224197&lt;/D&gt;&lt;/FQL&gt;&lt;FQL&gt;&lt;Q&gt;COP^FF_EPS_DIL(ANN_R, 0AY)&lt;/Q&gt;&lt;R&gt;1&lt;/R&gt;&lt;C&gt;1&lt;/C&gt;&lt;D xsi:type="xsd:double"&gt;7.81&lt;/D&gt;&lt;/FQL&gt;&lt;FQL&gt;&lt;Q&gt;HES^FF_EBIT_OPER(ANN_R,0)&lt;/Q&gt;&lt;R&gt;1&lt;/R&gt;&lt;C&gt;1&lt;/C&gt;&lt;D xsi:type="xsd:double"&gt;4776&lt;/D&gt;&lt;/FQL&gt;&lt;FQL&gt;&lt;Q&gt;HES^FF_ENTRPR_VAL(ANN_R,0)&lt;/Q&gt;&lt;R&gt;1&lt;/R&gt;&lt;C&gt;1&lt;/C&gt;&lt;D xsi:type="xsd:double"&gt;50082.983&lt;/D&gt;&lt;/FQL&gt;&lt;FQL&gt;&lt;Q&gt;COP^FF_EPS_DIL(ANN_R,0)&lt;/Q&gt;&lt;R&gt;1&lt;/R&gt;&lt;C&gt;1&lt;/C&gt;&lt;D xsi:type="xsd:double"&gt;14.5678&lt;/D&gt;&lt;/FQL&gt;&lt;FQL&gt;&lt;Q&gt;^FF_ENTRPR_VAL(ANN_R,0)&lt;/Q&gt;&lt;R&gt;0&lt;/R&gt;&lt;C&gt;0&lt;/C&gt;&lt;/FQL&gt;&lt;FQL&gt;&lt;Q&gt;COP^FE_ESTIMATE(EPSRD,MEAN,ANN_ROLL,+1,NOW,,,'')&lt;/Q&gt;&lt;R&gt;0&lt;/R&gt;&lt;C&gt;0&lt;/C&gt;&lt;/FQL&gt;&lt;FQL&gt;&lt;Q&gt;COP^FF_EBITDA_OPER(ANN_R,-1AY)&lt;/Q&gt;&lt;R&gt;1&lt;/R&gt;&lt;C&gt;1&lt;/C&gt;&lt;D xsi:type="xsd:double"&gt;23462&lt;/D&gt;&lt;/FQL&gt;&lt;FQL&gt;&lt;Q&gt;EOG^FF_ENTRPR_VAL_EBITDA_OPER(ANN_R,0Y)&lt;/Q&gt;&lt;R&gt;1&lt;/R&gt;&lt;C&gt;1&lt;/C&gt;&lt;D xsi:type="xsd:double"&gt;5.58383528461849&lt;/D&gt;&lt;/FQL&gt;&lt;FQL&gt;&lt;Q&gt;HES^FF_PE(ANN_R,-1AY)&lt;/Q&gt;&lt;R&gt;1&lt;/R&gt;&lt;C&gt;1&lt;/C&gt;&lt;D xsi:type="xsd:double"&gt;40.9616555082167&lt;/D&gt;&lt;/FQL&gt;&lt;FQL&gt;&lt;Q&gt;HES^FF_PE(ANN_R,0Y)&lt;/Q&gt;&lt;R&gt;1&lt;/R&gt;&lt;C&gt;1&lt;/C&gt;&lt;D xsi:type="xsd:double"&gt;20.9483013293944&lt;/D&gt;&lt;/FQL&gt;&lt;FQL&gt;&lt;Q&gt;HES^FF_ENTRPR_VAL_EBITDA_OPER(ANN_R,-1AY)&lt;/Q&gt;&lt;R&gt;1&lt;/R&gt;&lt;C&gt;1&lt;/C&gt;&lt;D xsi:type="xsd:double"&gt;8.1377349863146&lt;/D&gt;&lt;/FQL&gt;&lt;FQL&gt;&lt;Q&gt;DVN^FF_ENTRPR_VAL_EBITDA_OPER(ANN_R,-1AY)&lt;/Q&gt;&lt;R&gt;1&lt;/R&gt;&lt;C&gt;1&lt;/C&gt;&lt;D xsi:type="xsd:double"&gt;4.20170049824691&lt;/D&gt;&lt;/FQL&gt;&lt;FQL&gt;&lt;Q&gt;COP^FF_ENTRPR_VAL_EBITDA_OPER(ANN_R,-1AY)&lt;/Q&gt;&lt;R&gt;1&lt;/R&gt;&lt;C&gt;1&lt;/C&gt;&lt;D xsi:type="xsd:double"&gt;4.72519737195759&lt;/D&gt;&lt;/FQL&gt;&lt;FQL&gt;&lt;Q&gt;COP^FF_ENTRPR_VAL_EBITDA_OPER(ANN_R,0Y)&lt;/Q&gt;&lt;R&gt;1&lt;/R&gt;&lt;C&gt;1&lt;/C&gt;&lt;D xsi:type="xsd:double"&gt;6.4902266324269&lt;/D&gt;&lt;/FQL&gt;&lt;FQL&gt;&lt;Q&gt;COP^FF_ENTRPR_VAL(QTR,0,,,,,,'')&lt;/Q&gt;&lt;R&gt;1&lt;/R&gt;&lt;C&gt;1&lt;/C&gt;&lt;D xsi:type="xsd:double"&gt;138122.69471&lt;/D&gt;&lt;/FQL&gt;&lt;FQL&gt;&lt;Q&gt;COP^FF_ENTRPR_VAL(QTR,NOW,,,,,,'')&lt;/Q&gt;&lt;R&gt;1&lt;/R&gt;&lt;C&gt;1&lt;/C&gt;&lt;D xsi:type="xsd:double"&gt;138122.69471&lt;/D&gt;&lt;/FQL&gt;&lt;FQL&gt;&lt;Q&gt;DVN^FF_ENTRPR_VAL(QTR,NOW,,,,,,'')&lt;/Q&gt;&lt;R&gt;0&lt;/R&gt;&lt;C&gt;0&lt;/C&gt;&lt;/FQL&gt;&lt;FQL&gt;&lt;Q&gt;DVN^FF_ENTRPR_VAL(QTR,0,,,,,,'')&lt;/Q&gt;&lt;R&gt;1&lt;/R&gt;&lt;C&gt;1&lt;/C&gt;&lt;D xsi:type="xsd:double"&gt;33165.76&lt;/D&gt;&lt;/FQL&gt;&lt;FQL&gt;&lt;Q&gt;EOG^FF_ENTRPR_VAL(QTR,0,,,,,,'')&lt;/Q&gt;&lt;R&gt;1&lt;/R&gt;&lt;C&gt;1&lt;/C&gt;&lt;D xsi:type="xsd:double"&gt;67816.24&lt;/D&gt;&lt;/FQL&gt;&lt;FQL&gt;&lt;Q&gt;EOG^FF_ENTRPR_VAL(QTR,NOW,,,,,,'')&lt;/Q&gt;&lt;R&gt;0&lt;/R&gt;&lt;C&gt;0&lt;/C&gt;&lt;/FQL&gt;&lt;FQL&gt;&lt;Q&gt;DVN^FF_ENTRPR_VAL(ANN,NOW,,,,,,'')&lt;/Q&gt;&lt;R&gt;0&lt;/R&gt;&lt;C&gt;0&lt;/C&gt;&lt;/FQL&gt;&lt;FQL&gt;&lt;Q&gt;EOG^FF_ENTRPR_VAL(ANN,NOW,,,,,,'')&lt;/Q&gt;&lt;R&gt;0&lt;/R&gt;&lt;C&gt;0&lt;/C&gt;&lt;/FQL&gt;&lt;FQL&gt;&lt;Q&gt;DVN^FF_ENTRPR_VAL(ANN,0,,,,,,'')&lt;/Q&gt;&lt;R&gt;1&lt;/R&gt;&lt;C&gt;1&lt;/C&gt;&lt;D xsi:type="xsd:double"&gt;34846.6&lt;/D&gt;&lt;/FQL&gt;&lt;FQL&gt;&lt;Q&gt;EOG^FF_ENTRPR_VAL(ANN,0,,,,,,'')&lt;/Q&gt;&lt;R&gt;1&lt;/R&gt;&lt;C&gt;1&lt;/C&gt;&lt;D xsi:type="xsd:double"&gt;70156.8&lt;/D&gt;&lt;/FQL&gt;&lt;FQL&gt;&lt;Q&gt;HES^FF_ENTRPR_VAL(QTR,0,,,,,,'')&lt;/Q&gt;&lt;R&gt;1&lt;/R&gt;&lt;C&gt;1&lt;/C&gt;&lt;D xsi:type="xsd:double"&gt;50109.585&lt;/D&gt;&lt;/FQL&gt;&lt;FQL&gt;&lt;Q&gt;COP^FREF_MARKET_VALUE_COMPANY(NOW,,,,,0,,"LEGACY")&lt;/Q&gt;&lt;R&gt;1&lt;/R&gt;&lt;C&gt;1&lt;/C&gt;&lt;D xsi:type="xsd:double"&gt;127234.7734375&lt;/D&gt;&lt;/FQL&gt;&lt;FQL&gt;&lt;Q&gt;DVN^FREF_MARKET_VALUE_COMPANY(NOW,,,,,0,,"LEGACY")&lt;/Q&gt;&lt;R&gt;1&lt;/R&gt;&lt;C&gt;1&lt;/C&gt;&lt;D xsi:type="xsd:double"&gt;21776.236328125&lt;/D&gt;&lt;/FQL&gt;&lt;FQL&gt;&lt;Q&gt;EOG^FREF_MARKET_VALUE_COMPANY(NOW,,,,,0,,"LEGACY")&lt;/Q&gt;&lt;R&gt;1&lt;/R&gt;&lt;C&gt;1&lt;/C&gt;&lt;D xsi:type="xsd:double"&gt;71149.984375&lt;/D&gt;&lt;/FQL&gt;&lt;FQL&gt;&lt;Q&gt;HES^FREF_MARKET_VALUE_COMPANY(NOW,,,,,0,,"LEGACY")&lt;/Q&gt;&lt;R&gt;1&lt;/R&gt;&lt;C&gt;1&lt;/C&gt;&lt;D xsi:type="xsd:double"&gt;44042.42578125&lt;/D&gt;&lt;/FQL&gt;&lt;FQL&gt;&lt;Q&gt;COP^FG_PRICE(NOW)&lt;/Q&gt;&lt;R&gt;1&lt;/R&gt;&lt;C&gt;1&lt;/C&gt;&lt;D xsi:type="xsd:double"&gt;98.36&lt;/D&gt;&lt;/FQL&gt;&lt;FQL&gt;&lt;Q&gt;DVN^FG_PRICE(NOW)&lt;/Q&gt;&lt;R&gt;1&lt;/R&gt;&lt;C&gt;1&lt;/C&gt;&lt;D xsi:type="xsd:double"&gt;33.15&lt;/D&gt;&lt;/FQL&gt;&lt;FQL&gt;&lt;Q&gt;EOG^FG_PRICE(NOW)&lt;/Q&gt;&lt;R&gt;1&lt;/R&gt;&lt;C&gt;1&lt;/C&gt;&lt;D xsi:type="xsd:double"&gt;126.5&lt;/D&gt;&lt;/FQL&gt;&lt;FQL&gt;&lt;Q&gt;HES^FG_PRICE(NOW)&lt;/Q&gt;&lt;R&gt;1&lt;/R&gt;&lt;C&gt;1&lt;/C&gt;&lt;D xsi:type="xsd:double"&gt;142.94&lt;/D&gt;&lt;/FQL&gt;&lt;FQL&gt;&lt;Q&gt;EOG^FF_SALES_GR(ANN_R,NOW)&lt;/Q&gt;&lt;R&gt;0&lt;/R&gt;&lt;C&gt;0&lt;/C&gt;&lt;/FQL&gt;&lt;FQL&gt;&lt;Q&gt;DVN^FF_SALES_GR(ANN_R,NOW)&lt;/Q&gt;&lt;R&gt;0&lt;/R&gt;&lt;C&gt;0&lt;/C&gt;&lt;/FQL&gt;&lt;FQL&gt;&lt;Q&gt;COP^FE_ESTIMATE(EBITDA,MEAN,ANN_ROLL,+1,NOW,,,'')&lt;/Q&gt;&lt;R&gt;1&lt;/R&gt;&lt;C&gt;1&lt;/C&gt;&lt;D xsi:type="xsd:double"&gt;28347.643&lt;/D&gt;&lt;/FQL&gt;&lt;FQL&gt;&lt;Q&gt;COP-US^RTP_EV_EST(+1)&lt;/Q&gt;&lt;R&gt;1&lt;/R&gt;&lt;C&gt;1&lt;/C&gt;&lt;D xsi:type="xsd:double"&gt;145091.16&lt;/D&gt;&lt;/FQL&gt;&lt;FQL&gt;&lt;Q&gt;^FE_ESTIMATE(SALES,MEAN,ANN_ROLL,+2,NOW,,,'')&lt;/Q&gt;&lt;R&gt;0&lt;/R&gt;&lt;C&gt;0&lt;/C&gt;&lt;/FQL&gt;&lt;FQL&gt;&lt;Q&gt;COP-US^FE_ESTIMATE(EPS,MEAN,ANN_ROLL,+1,NOW,,,'')&lt;/Q&gt;&lt;R&gt;1&lt;/R&gt;&lt;C&gt;1&lt;/C&gt;&lt;D xsi:type="xsd:double"&gt;8.224197&lt;/D&gt;&lt;/FQL&gt;&lt;FQL&gt;&lt;Q&gt;COP-US^FE_ESTIMATE(EPS,NEST,ANN_ROLL,+1,NOW,,,'')&lt;/Q&gt;&lt;R&gt;1&lt;/R&gt;&lt;C&gt;1&lt;/C&gt;&lt;D xsi:type="xsd:long"&gt;27&lt;/D&gt;&lt;/FQL&gt;&lt;FQL&gt;&lt;Q&gt;COP-US^FE_ESTIMATE(SALES,NEST,ANN_ROLL,+1,NOW,,,'')&lt;/Q&gt;&lt;R&gt;1&lt;/R&gt;&lt;C&gt;1&lt;/C&gt;&lt;D xsi:type="xsd:long"&gt;13&lt;/D&gt;&lt;/FQL&gt;&lt;FQL&gt;&lt;Q&gt;COP-US^FE_ESTIMATE(SS_NOI,NEST,ANN_ROLL,+1,NOW,,,'')&lt;/Q&gt;&lt;R&gt;0&lt;/R&gt;&lt;C&gt;0&lt;/C&gt;&lt;/FQL&gt;&lt;FQL&gt;&lt;Q&gt;COP-US^FE_ESTIMATE(SS_NOI,NEST,ANN_ROLL,2026,NOW,,,'')&lt;/Q&gt;&lt;R&gt;0&lt;/R&gt;&lt;C&gt;0&lt;/C&gt;&lt;/FQL&gt;&lt;FQL&gt;&lt;Q&gt;COP^FE_ESTIMATE(SALES,MEAN,ANN_ROLL,+2,NOW,,,'')&lt;/Q&gt;&lt;R&gt;1&lt;/R&gt;&lt;C&gt;1&lt;/C&gt;&lt;D xsi:type="xsd:double"&gt;66366.14&lt;/D&gt;&lt;/FQL&gt;&lt;FQL&gt;&lt;Q&gt;HES^FE_ESTIMATE(SALES,MEAN,ANN_ROLL,+2,NOW,,,'')&lt;/Q&gt;&lt;R&gt;1&lt;/R&gt;&lt;C&gt;1&lt;/C&gt;&lt;D xsi:type="xsd:double"&gt;14640.268&lt;/D&gt;&lt;/FQL&gt;&lt;FQL&gt;&lt;Q&gt;EOG^FE_ESTIMATE(SALES,MEAN,ANN_ROLL,+2,NOW,,,'')&lt;/Q&gt;&lt;R&gt;1&lt;/R&gt;&lt;C&gt;1&lt;/C&gt;&lt;D xsi:type="xsd:double"&gt;24448.834&lt;/D&gt;&lt;/FQL&gt;&lt;FQL&gt;&lt;Q&gt;DVN^FE_ESTIMATE(SALES,MEAN,ANN_ROLL,+2,NOW,,,'')&lt;/Q&gt;&lt;R&gt;1&lt;/R&gt;&lt;C&gt;1&lt;/C&gt;&lt;D xsi:type="xsd:double"&gt;16961.46&lt;/D&gt;&lt;/FQL&gt;&lt;FQL&gt;&lt;Q&gt;COP^FF_EBITDA_OPER(ANN_R,0)&lt;/Q&gt;&lt;R&gt;1&lt;/R&gt;&lt;C&gt;1&lt;/C&gt;&lt;D xsi:type="xsd:double"&gt;22428&lt;/D&gt;&lt;/FQL&gt;&lt;FQL&gt;&lt;Q&gt;EOG^FF_EBITDA_OPER(ANN_R,0)&lt;/Q&gt;&lt;R&gt;1&lt;/R&gt;&lt;C&gt;1&lt;/C&gt;&lt;D xsi:type="xsd:double"&gt;12385&lt;/D&gt;&lt;/FQL&gt;&lt;FQL&gt;&lt;Q&gt;DVN^FE_ESTIMATE(EBITDA,MEAN,ANN_ROLL,+2,NOW,,,'')&lt;/Q&gt;&lt;R&gt;1&lt;/R&gt;&lt;C&gt;1&lt;/C&gt;&lt;D xsi:type="xsd:double"&gt;8066.226&lt;/D&gt;&lt;/FQL&gt;&lt;FQL&gt;&lt;Q&gt;DVN^FF_EBITDA_OPER(ANN_R,0)&lt;/Q&gt;&lt;R&gt;1&lt;/R&gt;&lt;C&gt;1&lt;/C&gt;&lt;D xsi:type="xsd:double"&gt;7375&lt;/D&gt;&lt;/FQL&gt;&lt;FQL&gt;&lt;Q&gt;CONOCOPHILLIPS^FF_SALES_GR(ANN_R,-1)&lt;/Q&gt;&lt;R&gt;0&lt;/R&gt;&lt;C&gt;0&lt;/C&gt;&lt;/FQL&gt;&lt;FQL&gt;&lt;Q&gt;CONOCOPHILLIPS^FF_SALES_GR(ANN_R,-1AY)&lt;/Q&gt;&lt;R&gt;0&lt;/R&gt;&lt;C&gt;0&lt;/C&gt;&lt;/FQL&gt;&lt;/Schema&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PD18 M</author>
  </authors>
  <commentList>
    <comment ref="F38" authorId="0" shapeId="0" xr:uid="{F8FAEE2B-0F05-46D0-9D4E-44432ACBEDC6}">
      <text>
        <r>
          <rPr>
            <b/>
            <sz val="9"/>
            <color indexed="81"/>
            <rFont val="Tahoma"/>
            <family val="2"/>
          </rPr>
          <t>PD18 M:</t>
        </r>
        <r>
          <rPr>
            <sz val="9"/>
            <color indexed="81"/>
            <rFont val="Tahoma"/>
            <family val="2"/>
          </rPr>
          <t xml:space="preserve">
https://www.bamsec.com/filing/158080826000045/1?cik=1580808&amp;hl=2623:2633&amp;hl_id=4y_kiue_nl</t>
        </r>
      </text>
    </comment>
    <comment ref="G38" authorId="0" shapeId="0" xr:uid="{C6AF884E-2A7F-45DC-96DE-DE8728B53995}">
      <text>
        <r>
          <rPr>
            <b/>
            <sz val="9"/>
            <color indexed="81"/>
            <rFont val="Tahoma"/>
            <family val="2"/>
          </rPr>
          <t>PD18 M:</t>
        </r>
        <r>
          <rPr>
            <sz val="9"/>
            <color indexed="81"/>
            <rFont val="Tahoma"/>
            <family val="2"/>
          </rPr>
          <t xml:space="preserve">
https://www.bamsec.com/filing/158080826000045/1?cik=1580808&amp;hl=2623:2633&amp;hl_id=4y_kiue_nl</t>
        </r>
      </text>
    </comment>
    <comment ref="H38" authorId="0" shapeId="0" xr:uid="{7972E89A-ADA7-4A79-BA28-727C432B6F17}">
      <text>
        <r>
          <rPr>
            <b/>
            <sz val="9"/>
            <color indexed="81"/>
            <rFont val="Tahoma"/>
            <family val="2"/>
          </rPr>
          <t>PD18 M:</t>
        </r>
        <r>
          <rPr>
            <sz val="9"/>
            <color indexed="81"/>
            <rFont val="Tahoma"/>
            <family val="2"/>
          </rPr>
          <t xml:space="preserve">
https://www.bamsec.com/filing/158080826000045/1?cik=1580808&amp;hl=2623:2633&amp;hl_id=4y_kiue_nl</t>
        </r>
      </text>
    </comment>
    <comment ref="F66" authorId="0" shapeId="0" xr:uid="{BC7F7839-D72A-4A55-9913-014530B72C50}">
      <text>
        <r>
          <rPr>
            <b/>
            <sz val="9"/>
            <color indexed="81"/>
            <rFont val="Tahoma"/>
            <family val="2"/>
          </rPr>
          <t>PD18 M:</t>
        </r>
        <r>
          <rPr>
            <sz val="9"/>
            <color indexed="81"/>
            <rFont val="Tahoma"/>
            <family val="2"/>
          </rPr>
          <t xml:space="preserve">
Per Bloomberg</t>
        </r>
      </text>
    </comment>
    <comment ref="G66" authorId="0" shapeId="0" xr:uid="{1D1C5217-3005-446A-9397-842A1EB8BD3E}">
      <text>
        <r>
          <rPr>
            <b/>
            <sz val="9"/>
            <color indexed="81"/>
            <rFont val="Tahoma"/>
            <family val="2"/>
          </rPr>
          <t>PD18 M:</t>
        </r>
        <r>
          <rPr>
            <sz val="9"/>
            <color indexed="81"/>
            <rFont val="Tahoma"/>
            <family val="2"/>
          </rPr>
          <t xml:space="preserve">
Per Bloomberg</t>
        </r>
      </text>
    </comment>
    <comment ref="H66" authorId="0" shapeId="0" xr:uid="{5B19D520-D88C-4DE7-84B7-B1E80048CD88}">
      <text>
        <r>
          <rPr>
            <b/>
            <sz val="9"/>
            <color indexed="81"/>
            <rFont val="Tahoma"/>
            <family val="2"/>
          </rPr>
          <t>PD18 M:</t>
        </r>
        <r>
          <rPr>
            <sz val="9"/>
            <color indexed="81"/>
            <rFont val="Tahoma"/>
            <family val="2"/>
          </rPr>
          <t xml:space="preserve">
Per Bloomberg</t>
        </r>
      </text>
    </comment>
    <comment ref="F72" authorId="0" shapeId="0" xr:uid="{BBDF8DFB-220E-4A1C-89B1-15D61016A12F}">
      <text>
        <r>
          <rPr>
            <b/>
            <sz val="9"/>
            <color indexed="81"/>
            <rFont val="Tahoma"/>
            <family val="2"/>
          </rPr>
          <t>PD18 M:</t>
        </r>
        <r>
          <rPr>
            <sz val="9"/>
            <color indexed="81"/>
            <rFont val="Tahoma"/>
            <family val="2"/>
          </rPr>
          <t xml:space="preserve">
Per Bloomberg as of 9.02.2026
</t>
        </r>
      </text>
    </comment>
    <comment ref="G72" authorId="0" shapeId="0" xr:uid="{4A5246A7-6E45-4250-AD99-8766A4475E76}">
      <text>
        <r>
          <rPr>
            <b/>
            <sz val="9"/>
            <color indexed="81"/>
            <rFont val="Tahoma"/>
            <family val="2"/>
          </rPr>
          <t>PD18 M:</t>
        </r>
        <r>
          <rPr>
            <sz val="9"/>
            <color indexed="81"/>
            <rFont val="Tahoma"/>
            <family val="2"/>
          </rPr>
          <t xml:space="preserve">
Per Bloomberg as of 9.02.2026
</t>
        </r>
      </text>
    </comment>
    <comment ref="H72" authorId="0" shapeId="0" xr:uid="{C094C017-310D-4D4E-9489-43BD348AA47F}">
      <text>
        <r>
          <rPr>
            <b/>
            <sz val="9"/>
            <color indexed="81"/>
            <rFont val="Tahoma"/>
            <family val="2"/>
          </rPr>
          <t>PD18 M:</t>
        </r>
        <r>
          <rPr>
            <sz val="9"/>
            <color indexed="81"/>
            <rFont val="Tahoma"/>
            <family val="2"/>
          </rPr>
          <t xml:space="preserve">
Per Bloomberg as of 9.02.2026
</t>
        </r>
      </text>
    </comment>
    <comment ref="J79" authorId="0" shapeId="0" xr:uid="{ADAEB627-70D9-4CCB-BCC8-D66EE0F2CA58}">
      <text>
        <r>
          <rPr>
            <b/>
            <sz val="9"/>
            <color indexed="81"/>
            <rFont val="Tahoma"/>
            <family val="2"/>
          </rPr>
          <t>PD18 M:</t>
        </r>
        <r>
          <rPr>
            <sz val="9"/>
            <color indexed="81"/>
            <rFont val="Tahoma"/>
            <family val="2"/>
          </rPr>
          <t xml:space="preserve">
https://www.bamsec.com/filing/158080826000045/1?cik=1580808&amp;hl=56663:56777&amp;hl_id=vkwdfqvdvx</t>
        </r>
      </text>
    </comment>
    <comment ref="J84" authorId="0" shapeId="0" xr:uid="{A485AAED-6817-4E80-9AC4-FD38D0B34006}">
      <text>
        <r>
          <rPr>
            <b/>
            <sz val="9"/>
            <color indexed="81"/>
            <rFont val="Tahoma"/>
            <family val="2"/>
          </rPr>
          <t>PD18 M:</t>
        </r>
        <r>
          <rPr>
            <sz val="9"/>
            <color indexed="81"/>
            <rFont val="Tahoma"/>
            <family val="2"/>
          </rPr>
          <t xml:space="preserve">
https://www.bamsec.com/filing/158080826000045/1?cik=1580808&amp;hl=57285:57418&amp;hl_id=vj0r3qvonl</t>
        </r>
      </text>
    </comment>
    <comment ref="F91" authorId="0" shapeId="0" xr:uid="{0BC527B2-A350-4EAB-ACB2-F76E165FD1BE}">
      <text>
        <r>
          <rPr>
            <b/>
            <sz val="9"/>
            <color indexed="81"/>
            <rFont val="Tahoma"/>
            <family val="2"/>
          </rPr>
          <t>PD18 M:</t>
        </r>
        <r>
          <rPr>
            <sz val="9"/>
            <color indexed="81"/>
            <rFont val="Tahoma"/>
            <family val="2"/>
          </rPr>
          <t xml:space="preserve">
Per Factset as of 9.02.2026</t>
        </r>
      </text>
    </comment>
    <comment ref="G91" authorId="0" shapeId="0" xr:uid="{60836BA7-B458-49D9-80A8-AFB6EEF20D4C}">
      <text>
        <r>
          <rPr>
            <b/>
            <sz val="9"/>
            <color indexed="81"/>
            <rFont val="Tahoma"/>
            <family val="2"/>
          </rPr>
          <t>PD18 M:</t>
        </r>
        <r>
          <rPr>
            <sz val="9"/>
            <color indexed="81"/>
            <rFont val="Tahoma"/>
            <family val="2"/>
          </rPr>
          <t xml:space="preserve">
Per Factset as of 9.02.2026</t>
        </r>
      </text>
    </comment>
    <comment ref="H91" authorId="0" shapeId="0" xr:uid="{7DC60AD9-436C-431E-98FF-731D0923CEA5}">
      <text>
        <r>
          <rPr>
            <b/>
            <sz val="9"/>
            <color indexed="81"/>
            <rFont val="Tahoma"/>
            <family val="2"/>
          </rPr>
          <t>PD18 M:</t>
        </r>
        <r>
          <rPr>
            <sz val="9"/>
            <color indexed="81"/>
            <rFont val="Tahoma"/>
            <family val="2"/>
          </rPr>
          <t xml:space="preserve">
Per Factset as of 9.02.2026</t>
        </r>
      </text>
    </comment>
    <comment ref="J93" authorId="0" shapeId="0" xr:uid="{2A5FEAA1-854E-4136-AB54-52DB8793E5F1}">
      <text>
        <r>
          <rPr>
            <b/>
            <sz val="9"/>
            <color indexed="81"/>
            <rFont val="Tahoma"/>
            <family val="2"/>
          </rPr>
          <t>PD18 M:</t>
        </r>
        <r>
          <rPr>
            <sz val="9"/>
            <color indexed="81"/>
            <rFont val="Tahoma"/>
            <family val="2"/>
          </rPr>
          <t xml:space="preserve">
https://www.bamsec.com/filing/158080826000014/1?cik=1580808&amp;hl=36561:36572&amp;hl_id=4yiwpugdng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tc={BE12E867-6A28-462B-A6DF-CA117DF4307E}</author>
    <author>PD18 M</author>
    <author>tc={5F468F6E-56B5-43A0-8AD3-9AB7A7173968}</author>
  </authors>
  <commentList>
    <comment ref="N18" authorId="0" shapeId="0" xr:uid="{BE12E867-6A28-462B-A6DF-CA117DF4307E}">
      <text>
        <t>[Threaded comment]
Your version of Excel allows you to read this threaded comment; however, any edits to it will get removed if the file is opened in a newer version of Excel. Learn more: https://go.microsoft.com/fwlink/?linkid=870924
Comment:
    The Microsoft relationship, which now represents approximately 37% of total revenue according to management commentary</t>
      </text>
    </comment>
    <comment ref="U18" authorId="1" shapeId="0" xr:uid="{1F0DDC7A-EC2E-47B7-87F9-528816783EDD}">
      <text>
        <r>
          <rPr>
            <b/>
            <sz val="9"/>
            <color indexed="81"/>
            <rFont val="Tahoma"/>
            <family val="2"/>
          </rPr>
          <t>PD18 M:</t>
        </r>
        <r>
          <rPr>
            <sz val="9"/>
            <color indexed="81"/>
            <rFont val="Tahoma"/>
            <family val="2"/>
          </rPr>
          <t xml:space="preserve">
https://www.bamsec.com/filing/158080826000045/1?cik=1580808&amp;table=21</t>
        </r>
      </text>
    </comment>
    <comment ref="O38" authorId="2" shapeId="0" xr:uid="{5F468F6E-56B5-43A0-8AD3-9AB7A7173968}">
      <text>
        <t>[Threaded comment]
Your version of Excel allows you to read this threaded comment; however, any edits to it will get removed if the file is opened in a newer version of Excel. Learn more: https://go.microsoft.com/fwlink/?linkid=870924
Comment:
    Okay. I guess, trying to just put a button on this line of questioning. It looks like service provider, excluding Microsoft, declined in 2025, and I think you're talking about it stabilizing. If we're trying to think about service provider excluding Microsoft in 2026 we should be thinking about that as similar to the 2025 level. Is that what you mean by normalizing? I just want to make sure I'm interpreting that commentary correctly.
Dhrupad Trivedi
President and CEO
0:34:42
Oh. Yeah. I think very good question. I think so. I would say, expecting it to be slightly better than 2025 level. The puts and takes are the North America segment we see as improving. Japan is equal or slightly worse, and Europe is neutral. Between those factors, overall, we expect it to be slightly better versus 2025.</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BamSEC</author>
    <author>PD18 M</author>
  </authors>
  <commentList>
    <comment ref="C13" authorId="0" shapeId="0" xr:uid="{00000000-0006-0000-0000-000001000000}">
      <text>
        <r>
          <rPr>
            <sz val="11"/>
            <color theme="1"/>
            <rFont val="Calibri"/>
            <family val="2"/>
            <scheme val="minor"/>
          </rPr>
          <t>Variations found in other tables:
"Total revenue" found in:
- 10-Q filed on 2023-05-04 (https://www.bamsec.com/filing/158080823000092/1?table=14)
- 10-Q filed on 2023-08-01 (https://www.bamsec.com/filing/158080823000142/1?table=14)
- 10-Q filed on 2023-11-07 (https://www.bamsec.com/filing/158080823000214/1?table=14)
- 10-K filed on 2024-02-29 (https://www.bamsec.com/filing/158080824000049/1?table=13)
- 10-K filed on 2025-02-25 (https://www.bamsec.com/filing/158080825000043/1?table=14)
- 10-K filed on 2026-02-25 (https://www.bamsec.com/filing/158080826000014/1?table=14)</t>
        </r>
      </text>
    </comment>
    <comment ref="C22" authorId="0" shapeId="0" xr:uid="{00000000-0006-0000-0000-000005000000}">
      <text>
        <r>
          <rPr>
            <sz val="11"/>
            <color theme="1"/>
            <rFont val="Calibri"/>
            <family val="2"/>
            <scheme val="minor"/>
          </rPr>
          <t>Variations found in other tables:
"Other income (expense), net" found in:
- 10-Q filed on 2023-05-04 (https://www.bamsec.com/filing/158080823000092/1?table=14)
- 10-Q filed on 2023-08-01 (https://www.bamsec.com/filing/158080823000142/1?table=14)
- 10-Q filed on 2023-11-07 (https://www.bamsec.com/filing/158080823000214/1?table=14)
- 10-Q filed on 2024-05-03 (https://www.bamsec.com/filing/158080824000077/1?table=14)
- 10-Q filed on 2024-07-30 (https://www.bamsec.com/filing/158080824000105/1?table=14)
"Other income, net" found in:
- 10-Q filed on 2024-11-07 (https://www.bamsec.com/filing/158080824000120/1?table=14)</t>
        </r>
      </text>
    </comment>
    <comment ref="C23" authorId="0" shapeId="0" xr:uid="{00000000-0006-0000-0000-000007000000}">
      <text>
        <r>
          <rPr>
            <sz val="11"/>
            <color theme="1"/>
            <rFont val="Calibri"/>
            <family val="2"/>
            <scheme val="minor"/>
          </rPr>
          <t>Variations found in other tables:
"Income before provision for income taxes" found in:
- 10-Q filed on 2023-05-04 (https://www.bamsec.com/filing/158080823000092/1?table=14)
- 10-Q filed on 2023-08-01 (https://www.bamsec.com/filing/158080823000142/1?table=14)
- 10-Q filed on 2023-11-07 (https://www.bamsec.com/filing/158080823000214/1?table=14)
- 10-Q filed on 2024-05-03 (https://www.bamsec.com/filing/158080824000077/1?table=14)
- 10-Q filed on 2024-07-30 (https://www.bamsec.com/filing/158080824000105/1?table=14)
"Income before provision for (benefit from) income taxes" found in:
- 10-Q filed on 2024-11-07 (https://www.bamsec.com/filing/158080824000120/1?table=14)</t>
        </r>
      </text>
    </comment>
    <comment ref="C24" authorId="0" shapeId="0" xr:uid="{00000000-0006-0000-0000-000008000000}">
      <text>
        <r>
          <rPr>
            <sz val="11"/>
            <color theme="1"/>
            <rFont val="Calibri"/>
            <family val="2"/>
            <scheme val="minor"/>
          </rPr>
          <t>Variations found in other tables:
"Income tax provision (benefit)" found in:
- 10-Q filed on 2023-11-07 (https://www.bamsec.com/filing/158080823000214/1?table=14)
"Provision for (benefit from) income taxes" found in:
- 10-Q filed on 2024-11-07 (https://www.bamsec.com/filing/158080824000120/1?table=14)</t>
        </r>
      </text>
    </comment>
    <comment ref="C54" authorId="0" shapeId="0" xr:uid="{E0AB261E-CF76-4E4D-96E6-C44BF74DB607}">
      <text>
        <r>
          <rPr>
            <sz val="11"/>
            <color theme="1"/>
            <rFont val="Calibri"/>
            <family val="2"/>
            <scheme val="minor"/>
          </rPr>
          <t>Variations found in other tables:
"Accounts receivable, net of allowances of $405 and $32, respectively" found in:
- 10-K filed on 2024-02-29 (https://www.bamsec.com/filing/158080824000049/1?table=21)
"Accounts receivable, net of allowances of $465 and $405, respectively" found in:
- 10-K filed on 2025-02-25 (https://www.bamsec.com/filing/158080825000043/1?table=22)
"Accounts receivable, net of allowances of $357 and $465, respectively" found in:
- 10-Q filed on 2025-08-05 (https://www.bamsec.com/filing/158080825000099/1?table=13)
"Accounts receivable, net of allowances of $323 and $465, respectively" found in:
- 10-Q filed on 2025-11-04 (https://www.bamsec.com/filing/158080825000111/1?table=13)
"Accounts receivable, net of allowances of $66 and $465, respectively" found in:
- 10-K filed on 2026-02-25 (https://www.bamsec.com/filing/158080826000014/1?table=22)
"Accounts receivable, net of allowances of $46 and $66, respectively" found in:
- 10-Q filed on 2026-05-07 (https://www.bamsec.com/filing/158080826000032/1?table=13)</t>
        </r>
      </text>
    </comment>
    <comment ref="C60" authorId="0" shapeId="0" xr:uid="{430583B6-7D9E-4C4E-B192-3C2FAD8F5379}">
      <text>
        <r>
          <rPr>
            <sz val="11"/>
            <color theme="1"/>
            <rFont val="Calibri"/>
            <family val="2"/>
            <scheme val="minor"/>
          </rPr>
          <t>Variations found in other tables:
"Intangible assets" found in:
- 10-K filed on 2026-02-25 (https://www.bamsec.com/filing/158080826000014/1?table=22)</t>
        </r>
      </text>
    </comment>
    <comment ref="C66" authorId="0" shapeId="0" xr:uid="{2180A46E-7032-4EF5-9627-2F389FA81148}">
      <text>
        <r>
          <rPr>
            <sz val="11"/>
            <color theme="1"/>
            <rFont val="Calibri"/>
            <family val="2"/>
            <scheme val="minor"/>
          </rPr>
          <t>Variations found in other tables:
"Accrued liabilities" found in:
- 10-Q filed on 2025-08-05 (https://www.bamsec.com/filing/158080825000099/1?table=13)
- 10-Q filed on 2025-11-04 (https://www.bamsec.com/filing/158080825000111/1?table=13)</t>
        </r>
      </text>
    </comment>
    <comment ref="C67" authorId="0" shapeId="0" xr:uid="{9FB7B535-ACBB-486C-ADE9-477DC67D3C10}">
      <text>
        <r>
          <rPr>
            <sz val="11"/>
            <color theme="1"/>
            <rFont val="Calibri"/>
            <family val="2"/>
            <scheme val="minor"/>
          </rPr>
          <t>Variations found in other tables:
"Deferred revenue" found in:
- 10-Q filed on 2025-08-05 (https://www.bamsec.com/filing/158080825000099/1?table=13)
- 10-Q filed on 2025-11-04 (https://www.bamsec.com/filing/158080825000111/1?table=13)</t>
        </r>
      </text>
    </comment>
    <comment ref="AA68" authorId="1" shapeId="0" xr:uid="{0486B981-F7AD-47CC-9476-F69FC51384D3}">
      <text>
        <r>
          <rPr>
            <b/>
            <sz val="9"/>
            <color indexed="55"/>
            <rFont val="Tahoma"/>
            <family val="2"/>
          </rPr>
          <t>PD18 M:</t>
        </r>
        <r>
          <rPr>
            <sz val="9"/>
            <color indexed="55"/>
            <rFont val="Tahoma"/>
            <family val="2"/>
          </rPr>
          <t xml:space="preserve">
https://www.bamsec.com/filing/158080826000045/1?cik=1580808&amp;hl=57928:58619&amp;hl_id=vk4wieluvl</t>
        </r>
      </text>
    </comment>
    <comment ref="C71" authorId="0" shapeId="0" xr:uid="{6C5DA113-123B-4ABB-BDF6-82DAC78D5A18}">
      <text>
        <r>
          <rPr>
            <sz val="11"/>
            <color theme="1"/>
            <rFont val="Calibri"/>
            <family val="2"/>
            <scheme val="minor"/>
          </rPr>
          <t>Variations found in other tables:
"Long-term debt, net" found in:
- 10-Q filed on 2026-08-06 (https://www.bamsec.com/filing/158080826000045/1?table=13)</t>
        </r>
      </text>
    </comment>
    <comment ref="C75" authorId="0" shapeId="0" xr:uid="{87485095-3EC1-45B9-A05B-98570750690D}">
      <text>
        <r>
          <rPr>
            <sz val="11"/>
            <color theme="1"/>
            <rFont val="Calibri"/>
            <family val="2"/>
            <scheme val="minor"/>
          </rPr>
          <t>Variations found in other tables:
"Common stock, $0.00001 par value: 500,000 shares authorized; 90,520 and 89,003 shares issued and 73,693 and 74,359 shares outstanding, respectively" found in:
- 10-K filed on 2025-02-25 (https://www.bamsec.com/filing/158080825000043/1?table=22)
"Common stock, $0.00001 par value: 500,000 shares authorized; 91,450 and 90,520 shares issued and 71,992 and 73,693 shares outstanding, respectively" found in:
- 10-Q filed on 2025-08-05 (https://www.bamsec.com/filing/158080825000099/1?table=13)
"Common stock, $0.00001 par value: 500,000 shares authorized; 91,776 and 90,520 shares issued and 71,684 and 73,693 shares outstanding, respectively" found in:
- 10-Q filed on 2025-11-04 (https://www.bamsec.com/filing/158080825000111/1?table=13)
"Common stock, $0.00001 par value: 500,000 shares authorized; 91,996 and 90,520 shares issued and 71,498 and 73,693 shares outstanding, respectively" found in:
- 10-K filed on 2026-02-25 (https://www.bamsec.com/filing/158080826000014/1?table=22)
"Common stock, $0.00001 par value: 500,000 shares authorized; 92,395 and 91,996 shares issued and 71,759 and 71,498 shares outstanding, respectively" found in:
- 10-Q filed on 2026-05-07 (https://www.bamsec.com/filing/158080826000032/1?table=13)
"Common stock, $0.00001 par value: 500,000 shares authorized; 93,176 and 91,996 shares issued and 72,454 and 71,498 shares outstanding, respectively" found in:
- 10-Q filed on 2026-08-06 (https://www.bamsec.com/filing/158080826000045/1?table=13)</t>
        </r>
      </text>
    </comment>
    <comment ref="C76" authorId="0" shapeId="0" xr:uid="{72D1BA14-4D0F-495B-8D4B-D34D81BF5E9E}">
      <text>
        <r>
          <rPr>
            <sz val="11"/>
            <color theme="1"/>
            <rFont val="Calibri"/>
            <family val="2"/>
            <scheme val="minor"/>
          </rPr>
          <t>Variations found in other tables:
"Treasury stock, at cost: 16,827 and 14,644 shares, respectively" found in:
- 10-K filed on 2025-02-25 (https://www.bamsec.com/filing/158080825000043/1?table=22)
"Treasury stock, at cost: 19,458 and 16,827 shares, respectively" found in:
- 10-Q filed on 2025-08-05 (https://www.bamsec.com/filing/158080825000099/1?table=13)
"Treasury stock, at cost: 20,092 and 16,827 shares, respectively" found in:
- 10-Q filed on 2025-11-04 (https://www.bamsec.com/filing/158080825000111/1?table=13)
"Treasury stock, at cost: 20,498 and 16,827 shares, respectively" found in:
- 10-K filed on 2026-02-25 (https://www.bamsec.com/filing/158080826000014/1?table=22)
"Treasury stock, at cost: 20,636 and 20,498 shares, respectively" found in:
- 10-Q filed on 2026-05-07 (https://www.bamsec.com/filing/158080826000032/1?table=13)
"Treasury stock, at cost: 20,722 and 20,498 shares, respectively" found in:
- 10-Q filed on 2026-08-06 (https://www.bamsec.com/filing/158080826000045/1?table=13)</t>
        </r>
      </text>
    </comment>
    <comment ref="C79" authorId="0" shapeId="0" xr:uid="{70615A84-3D3C-4629-BE16-321D6DEDE8F0}">
      <text>
        <r>
          <rPr>
            <sz val="11"/>
            <color theme="1"/>
            <rFont val="Calibri"/>
            <family val="2"/>
            <scheme val="minor"/>
          </rPr>
          <t>Variations found in other tables:
"Accumulated other comprehensive loss" found in:
- 10-K filed on 2024-02-29 (https://www.bamsec.com/filing/158080824000049/1?table=21)
"Accumulated other comprehensive income" found in:
- 10-K filed on 2026-02-25 (https://www.bamsec.com/filing/158080826000014/1?table=22)</t>
        </r>
      </text>
    </comment>
    <comment ref="C80" authorId="0" shapeId="0" xr:uid="{74C3D666-4E67-4CC8-9647-AA16E518E65E}">
      <text>
        <r>
          <rPr>
            <sz val="11"/>
            <color theme="1"/>
            <rFont val="Calibri"/>
            <family val="2"/>
            <scheme val="minor"/>
          </rPr>
          <t>Variations found in other tables:
"Retained earnings (accumulated deficit)" found in:
- 10-K filed on 2026-02-25 (https://www.bamsec.com/filing/158080826000014/1?table=22)</t>
        </r>
      </text>
    </comment>
    <comment ref="C95" authorId="1" shapeId="0" xr:uid="{C70AF680-B3A9-4FD3-A43E-E7C843A54798}">
      <text>
        <r>
          <rPr>
            <b/>
            <sz val="9"/>
            <color indexed="81"/>
            <rFont val="Tahoma"/>
            <family val="2"/>
          </rPr>
          <t>PD18 M:</t>
        </r>
        <r>
          <rPr>
            <sz val="9"/>
            <color indexed="81"/>
            <rFont val="Tahoma"/>
            <family val="2"/>
          </rPr>
          <t xml:space="preserve">
https://www.bamsec.com/filing/158080826000014/1?cik=1580808&amp;hl=245844:246015&amp;hl_id=4kvp-txoex</t>
        </r>
      </text>
    </comment>
    <comment ref="C109" authorId="0" shapeId="0" xr:uid="{24C301F9-5596-44B3-A885-83A19186BCD9}">
      <text>
        <r>
          <rPr>
            <sz val="11"/>
            <color theme="1"/>
            <rFont val="Calibri"/>
            <family val="2"/>
            <scheme val="minor"/>
          </rPr>
          <t>Variations found in other tables:
"Provision for credit losses and sales returns" found in:
- 10-K filed on 2024-02-29 (https://www.bamsec.com/filing/158080824000049/1?table=25)</t>
        </r>
      </text>
    </comment>
    <comment ref="C116" authorId="0" shapeId="0" xr:uid="{7FAC0908-BBBC-4E58-B267-FF88BE496C57}">
      <text>
        <r>
          <rPr>
            <sz val="11"/>
            <color theme="1"/>
            <rFont val="Calibri"/>
            <family val="2"/>
            <scheme val="minor"/>
          </rPr>
          <t>Variations found in other tables:
"Accrued liabilities" found in:
- 10-Q filed on 2025-05-06 (https://www.bamsec.com/filing/158080825000075/1?table=18)
- 10-Q filed on 2025-08-05 (https://www.bamsec.com/filing/158080825000099/1?table=20)
- 10-Q filed on 2025-11-04 (https://www.bamsec.com/filing/158080825000111/1?table=20)</t>
        </r>
      </text>
    </comment>
    <comment ref="C122" authorId="0" shapeId="0" xr:uid="{7B1574F2-F271-49D7-BE1C-AE313AA913A8}">
      <text>
        <r>
          <rPr>
            <sz val="11"/>
            <color theme="1"/>
            <rFont val="Calibri"/>
            <family val="2"/>
            <scheme val="minor"/>
          </rPr>
          <t>Variations found in other tables:
"Proceeds from sales and maturities of marketable securities" found in:
- 10-Q filed on 2026-05-07 (https://www.bamsec.com/filing/158080826000032/1?table=20)
- 10-Q filed on 2026-08-06 (https://www.bamsec.com/filing/158080826000045/1?table=20)</t>
        </r>
      </text>
    </comment>
    <comment ref="C124" authorId="0" shapeId="0" xr:uid="{504548C8-A87B-4B07-BEB3-39E0F9090455}">
      <text>
        <r>
          <rPr>
            <sz val="11"/>
            <color theme="1"/>
            <rFont val="Calibri"/>
            <family val="2"/>
            <scheme val="minor"/>
          </rPr>
          <t>Variations found in other tables:
"Acquisition of businesses, net of cash acquired" found in:
- 10-Q filed on 2026-08-06 (https://www.bamsec.com/filing/158080826000045/1?table=20)</t>
        </r>
      </text>
    </comment>
    <comment ref="C126" authorId="0" shapeId="0" xr:uid="{86BBAB72-0E9E-40B1-B981-F74695097AAC}">
      <text>
        <r>
          <rPr>
            <sz val="11"/>
            <color theme="1"/>
            <rFont val="Calibri"/>
            <family val="2"/>
            <scheme val="minor"/>
          </rPr>
          <t>Variations found in other tables:
"Net cash provided by (used in) investing activities" found in:
- 10-K filed on 2024-02-29 (https://www.bamsec.com/filing/158080824000049/1?table=25)
- 10-K filed on 2025-02-25 (https://www.bamsec.com/filing/158080825000043/1?table=26)
- 10-Q filed on 2025-05-06 (https://www.bamsec.com/filing/158080825000075/1?table=18)
- 10-K filed on 2026-02-25 (https://www.bamsec.com/filing/158080826000014/1?table=26)</t>
        </r>
      </text>
    </comment>
    <comment ref="C130" authorId="0" shapeId="0" xr:uid="{BB568CA3-A7F4-438B-8A42-CF4AD6E5C255}">
      <text>
        <r>
          <rPr>
            <sz val="11"/>
            <color theme="1"/>
            <rFont val="Calibri"/>
            <family val="2"/>
            <scheme val="minor"/>
          </rPr>
          <t>Variations found in other tables:
"Proceeds from the issuance of convertible debt" found in:
- 10-K filed on 2026-02-25 (https://www.bamsec.com/filing/158080826000014/1?table=26)</t>
        </r>
      </text>
    </comment>
    <comment ref="C134" authorId="0" shapeId="0" xr:uid="{7C875B9B-62D7-4227-8917-58BB89FDE9BB}">
      <text>
        <r>
          <rPr>
            <sz val="11"/>
            <color theme="1"/>
            <rFont val="Calibri"/>
            <family val="2"/>
            <scheme val="minor"/>
          </rPr>
          <t>Variations found in other tables:
"Net cash used in financing activities" found in:
- 10-K filed on 2024-02-29 (https://www.bamsec.com/filing/158080824000049/1?table=25)
- 10-K filed on 2025-02-25 (https://www.bamsec.com/filing/158080825000043/1?table=26)</t>
        </r>
      </text>
    </comment>
    <comment ref="C136" authorId="0" shapeId="0" xr:uid="{A549632F-CA0A-4FF4-B0F8-35C2D65ED1BA}">
      <text>
        <r>
          <rPr>
            <sz val="11"/>
            <color theme="1"/>
            <rFont val="Calibri"/>
            <family val="2"/>
            <scheme val="minor"/>
          </rPr>
          <t>Variations found in other tables:
"Net increase in cash and cash equivalents" found in:
- 10-Q filed on 2025-05-06 (https://www.bamsec.com/filing/158080825000075/1?table=18)
"Net decrease in cash and cash equivalents" found in:
- 10-Q filed on 2025-11-04 (https://www.bamsec.com/filing/158080825000111/1?table=20)</t>
        </r>
      </text>
    </comment>
    <comment ref="C137" authorId="0" shapeId="0" xr:uid="{C6F7CE83-39E4-4A5E-9C5E-8010E21BAA14}">
      <text>
        <r>
          <rPr>
            <sz val="11"/>
            <color theme="1"/>
            <rFont val="Calibri"/>
            <family val="2"/>
            <scheme val="minor"/>
          </rPr>
          <t>Variations found in other tables:
"Cash and cash equivalents - beginning of year" found in:
- 10-K filed on 2024-02-29 (https://www.bamsec.com/filing/158080824000049/1?table=25)
- 10-K filed on 2025-02-25 (https://www.bamsec.com/filing/158080825000043/1?table=26)
- 10-K filed on 2026-02-25 (https://www.bamsec.com/filing/158080826000014/1?table=26)</t>
        </r>
      </text>
    </comment>
    <comment ref="X137" authorId="1" shapeId="0" xr:uid="{B9329003-FE13-43EB-9119-B83661F0FE55}">
      <text>
        <r>
          <rPr>
            <b/>
            <sz val="9"/>
            <color indexed="81"/>
            <rFont val="Tahoma"/>
            <family val="2"/>
          </rPr>
          <t>PD18 M:</t>
        </r>
        <r>
          <rPr>
            <sz val="9"/>
            <color indexed="81"/>
            <rFont val="Tahoma"/>
            <family val="2"/>
          </rPr>
          <t xml:space="preserve">
Plug
</t>
        </r>
      </text>
    </comment>
    <comment ref="Y137" authorId="1" shapeId="0" xr:uid="{6C0B3201-062C-40DB-97AB-1D3E2F860E5C}">
      <text>
        <r>
          <rPr>
            <b/>
            <sz val="9"/>
            <color indexed="81"/>
            <rFont val="Tahoma"/>
            <family val="2"/>
          </rPr>
          <t>PD18 M:</t>
        </r>
        <r>
          <rPr>
            <sz val="9"/>
            <color indexed="81"/>
            <rFont val="Tahoma"/>
            <family val="2"/>
          </rPr>
          <t xml:space="preserve">
Plug
</t>
        </r>
      </text>
    </comment>
    <comment ref="AA137" authorId="1" shapeId="0" xr:uid="{B6FAD5CE-8C8B-46AE-8BCA-924CBD59FE97}">
      <text>
        <r>
          <rPr>
            <b/>
            <sz val="9"/>
            <color indexed="81"/>
            <rFont val="Tahoma"/>
            <family val="2"/>
          </rPr>
          <t>PD18 M:</t>
        </r>
        <r>
          <rPr>
            <sz val="9"/>
            <color indexed="81"/>
            <rFont val="Tahoma"/>
            <family val="2"/>
          </rPr>
          <t xml:space="preserve">
Plug
</t>
        </r>
      </text>
    </comment>
    <comment ref="C138" authorId="0" shapeId="0" xr:uid="{7CE32CA7-8987-40F6-8DDA-80F48A07EE2F}">
      <text>
        <r>
          <rPr>
            <sz val="11"/>
            <color theme="1"/>
            <rFont val="Calibri"/>
            <family val="2"/>
            <scheme val="minor"/>
          </rPr>
          <t>Variations found in other tables:
"Cash and cash equivalents - end of year" found in:
- 10-K filed on 2024-02-29 (https://www.bamsec.com/filing/158080824000049/1?table=25)
- 10-K filed on 2025-02-25 (https://www.bamsec.com/filing/158080825000043/1?table=26)
- 10-K filed on 2026-02-25 (https://www.bamsec.com/filing/158080826000014/1?table=26)</t>
        </r>
      </text>
    </comment>
    <comment ref="C141" authorId="0" shapeId="0" xr:uid="{D0E58411-F53C-489B-B6F4-B693F59BF953}">
      <text>
        <r>
          <rPr>
            <sz val="11"/>
            <color theme="1"/>
            <rFont val="Calibri"/>
            <family val="2"/>
            <scheme val="minor"/>
          </rPr>
          <t>Variations found in other tables:
"Cash paid for income taxes, net of refunds" found in:
- 10-K filed on 2024-02-29 (https://www.bamsec.com/filing/158080824000049/1?table=25)
- 10-K filed on 2025-02-25 (https://www.bamsec.com/filing/158080825000043/1?table=26)
- 10-K filed on 2026-02-25 (https://www.bamsec.com/filing/158080826000014/1?table=26)</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PD18 M</author>
  </authors>
  <commentList>
    <comment ref="B17" authorId="0" shapeId="0" xr:uid="{4255A8BD-FC1E-46DC-B4AA-4931469CE70B}">
      <text>
        <r>
          <rPr>
            <b/>
            <sz val="9"/>
            <color indexed="81"/>
            <rFont val="Tahoma"/>
            <family val="2"/>
          </rPr>
          <t>PD18 M:</t>
        </r>
        <r>
          <rPr>
            <sz val="9"/>
            <color indexed="81"/>
            <rFont val="Tahoma"/>
            <family val="2"/>
          </rPr>
          <t xml:space="preserve">
Assume no currency income / (expense)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PD18 M</author>
  </authors>
  <commentList>
    <comment ref="B3" authorId="0" shapeId="0" xr:uid="{ADF69E07-5456-4F00-89E1-5ABA9041AEAB}">
      <text>
        <r>
          <rPr>
            <b/>
            <sz val="9"/>
            <color indexed="81"/>
            <rFont val="Tahoma"/>
            <family val="2"/>
          </rPr>
          <t>PD18 M:</t>
        </r>
        <r>
          <rPr>
            <sz val="9"/>
            <color indexed="81"/>
            <rFont val="Tahoma"/>
            <family val="2"/>
          </rPr>
          <t xml:space="preserve">
As of 9.04.2026
</t>
        </r>
      </text>
    </comment>
    <comment ref="B179" authorId="0" shapeId="0" xr:uid="{578EE7D7-1A3B-47DC-9294-A3540932646B}">
      <text>
        <r>
          <rPr>
            <b/>
            <sz val="9"/>
            <color indexed="81"/>
            <rFont val="Tahoma"/>
            <family val="2"/>
          </rPr>
          <t>PD18 M:</t>
        </r>
        <r>
          <rPr>
            <sz val="9"/>
            <color indexed="81"/>
            <rFont val="Tahoma"/>
            <family val="2"/>
          </rPr>
          <t xml:space="preserve">
https://www.bamsec.com/filing/158080826000014/1?cik=1580808&amp;hl=42738:43259&amp;hl_id=eju4xtgdee</t>
        </r>
      </text>
    </comment>
  </commentList>
</comments>
</file>

<file path=xl/sharedStrings.xml><?xml version="1.0" encoding="utf-8"?>
<sst xmlns="http://schemas.openxmlformats.org/spreadsheetml/2006/main" count="958" uniqueCount="541">
  <si>
    <t>This sheet contains FactSet XML data for use with this workbook's =FDS codes.  Modifying the worksheet's contents may damage the workbook's =FDS functionality.</t>
  </si>
  <si>
    <t>Color Key:</t>
  </si>
  <si>
    <t>Hardcoded Input</t>
  </si>
  <si>
    <t>Linked from another sheet</t>
  </si>
  <si>
    <t>Formula</t>
  </si>
  <si>
    <t>Update for changes over time</t>
  </si>
  <si>
    <t xml:space="preserve">A10 Networks, Inc. </t>
  </si>
  <si>
    <t>p</t>
  </si>
  <si>
    <t>General:</t>
  </si>
  <si>
    <t>Date</t>
  </si>
  <si>
    <t>Sector</t>
  </si>
  <si>
    <t>Information Technology</t>
  </si>
  <si>
    <t>Company Ticker</t>
  </si>
  <si>
    <t>ATEN</t>
  </si>
  <si>
    <t>Fiscal Year End</t>
  </si>
  <si>
    <t>Last Updated</t>
  </si>
  <si>
    <t>Last Price (USD)</t>
  </si>
  <si>
    <t>Model Assumptions</t>
  </si>
  <si>
    <t>Active Scenario</t>
  </si>
  <si>
    <t>Commentary</t>
  </si>
  <si>
    <t>Circuit Breaker</t>
  </si>
  <si>
    <t>&lt;--- ON = 1, OFF = 0</t>
  </si>
  <si>
    <t>Scenario Manager:</t>
  </si>
  <si>
    <t>Scenario Case</t>
  </si>
  <si>
    <t>Scenario Description</t>
  </si>
  <si>
    <t>Base</t>
  </si>
  <si>
    <t>Conservative</t>
  </si>
  <si>
    <t>Bullish</t>
  </si>
  <si>
    <t>Miscelaneous:</t>
  </si>
  <si>
    <t>Days / Year</t>
  </si>
  <si>
    <t>Last Fiscal Year End</t>
  </si>
  <si>
    <t>Last Fiscal Period End</t>
  </si>
  <si>
    <t>Next Fiscal Year End</t>
  </si>
  <si>
    <t xml:space="preserve">Stub Period </t>
  </si>
  <si>
    <t>Discount Period Increment</t>
  </si>
  <si>
    <t>&lt;--- Yearly =1, Quarterly = .25</t>
  </si>
  <si>
    <t>Units</t>
  </si>
  <si>
    <t>($ in Millions)</t>
  </si>
  <si>
    <t>Forecast End</t>
  </si>
  <si>
    <t>Forecast Years</t>
  </si>
  <si>
    <t>Forecast Year (Round-Up)</t>
  </si>
  <si>
    <t>Capitalization:</t>
  </si>
  <si>
    <t>Shares Outs. (mm)</t>
  </si>
  <si>
    <t>In-the-Money Convertible Debt</t>
  </si>
  <si>
    <t>&lt;-- Dependent on conversion override toggle and conversion expected calc below</t>
  </si>
  <si>
    <t>RSU &amp; PSUs</t>
  </si>
  <si>
    <t>ESPP</t>
  </si>
  <si>
    <t xml:space="preserve">MSFT Warrant </t>
  </si>
  <si>
    <t>Fully Diluted Shares Outs. (mm)</t>
  </si>
  <si>
    <t>Market Capalization</t>
  </si>
  <si>
    <t>Total Debt</t>
  </si>
  <si>
    <t>Principal value 2030 notes. A10 has no other outstanding debt</t>
  </si>
  <si>
    <t>2030 Convertible Senior Notes:</t>
  </si>
  <si>
    <t>Interest payable semi-annually on April 1 and October 1, Soft Call available 4/05/2028 and free convertibility from 12/01/2029</t>
  </si>
  <si>
    <t>Assumes that A10 will not call, and holders will not elect to convert after 12/01/2029</t>
  </si>
  <si>
    <t>Refinance Toggle</t>
  </si>
  <si>
    <t>FCFE is forcasted to 2030, when convertibles are due. Assumes they are refinanced for accuracy of terminal year, excess over aggregate principal being payed in stock</t>
  </si>
  <si>
    <t>Conversion Override Toggle</t>
  </si>
  <si>
    <t>Principal</t>
  </si>
  <si>
    <t>Face</t>
  </si>
  <si>
    <t xml:space="preserve">Bonds Outs. </t>
  </si>
  <si>
    <t>Unamortized Issuance Costs</t>
  </si>
  <si>
    <t>Carrying Value</t>
  </si>
  <si>
    <t>As of Dec-2025, per 10-k</t>
  </si>
  <si>
    <t>Coupon Rate</t>
  </si>
  <si>
    <t>Effective Interest Rate</t>
  </si>
  <si>
    <t>First Interest Payment</t>
  </si>
  <si>
    <t>Frequency</t>
  </si>
  <si>
    <t>Maturity</t>
  </si>
  <si>
    <t>Issuance</t>
  </si>
  <si>
    <t>Years Remaining</t>
  </si>
  <si>
    <t>Conversion Price</t>
  </si>
  <si>
    <t>Conversion Ratio</t>
  </si>
  <si>
    <t>Trigger Multiple</t>
  </si>
  <si>
    <t>Trigger Price</t>
  </si>
  <si>
    <t>Dilution if-converted shares</t>
  </si>
  <si>
    <t>Bond Price</t>
  </si>
  <si>
    <t>Parity</t>
  </si>
  <si>
    <t>Market Price</t>
  </si>
  <si>
    <t>Conversion Value</t>
  </si>
  <si>
    <t>Premium over parity</t>
  </si>
  <si>
    <t>Quarterly Trigger Met</t>
  </si>
  <si>
    <t>YES</t>
  </si>
  <si>
    <t>Excersie Window End</t>
  </si>
  <si>
    <t>The 2030 Notes are convertible at the option of the holder thereof beginning July 1, 2026 until September 30, 2026</t>
  </si>
  <si>
    <t>Conversion Expectected</t>
  </si>
  <si>
    <t>If MV of bond &gt; CV, no conversion is assumed</t>
  </si>
  <si>
    <t>Conversion at Maturity</t>
  </si>
  <si>
    <t>If CV &gt; Face, conversion at maturity is expected</t>
  </si>
  <si>
    <t>Cash Conversion (%)</t>
  </si>
  <si>
    <t xml:space="preserve">A10 will pay up to aggregate principal in cash, with remainder in common stock; see below </t>
  </si>
  <si>
    <t>Cash Conversion</t>
  </si>
  <si>
    <t>Under the terms of the indenture, they have the option to settle our conversion obligation in cash or a combination of cash and shares</t>
  </si>
  <si>
    <t>Stock Conversion</t>
  </si>
  <si>
    <t xml:space="preserve">Valuation Constants: </t>
  </si>
  <si>
    <t>Long-run growth (%)</t>
  </si>
  <si>
    <t>Marginal tax rate</t>
  </si>
  <si>
    <t>Risk-free rate ( 10yr UST)</t>
  </si>
  <si>
    <t>Cost of Equity:</t>
  </si>
  <si>
    <t>Selection determined using FY'25 10-K peer group identified in FY'25 10-K "Competition," peer benchmarking in Mizuho and DB initiation equity reports, Factset</t>
  </si>
  <si>
    <t>Mean / Median Peer Toggle</t>
  </si>
  <si>
    <t>&lt;--- Mean = 1, Median = 0</t>
  </si>
  <si>
    <t>Comp 1:</t>
  </si>
  <si>
    <t>Company Name</t>
  </si>
  <si>
    <t>Radware</t>
  </si>
  <si>
    <t>Same three product lines as ATEN (ADC, DDoS, cloud WAF), same appliance-plus-subscription model, similar scale. Closest business match available</t>
  </si>
  <si>
    <t>Ticker</t>
  </si>
  <si>
    <t>RDWR</t>
  </si>
  <si>
    <t>Fwd P/E</t>
  </si>
  <si>
    <t>Marginal Tax Rate</t>
  </si>
  <si>
    <t>Total Equity</t>
  </si>
  <si>
    <t>Comp 2:</t>
  </si>
  <si>
    <t>F5</t>
  </si>
  <si>
    <t>BIG-IP and Thunder ADC are substitutes in the same deals. Same high-margin appliance-plus-attached-subscription economics, and both are building AI gateways</t>
  </si>
  <si>
    <t>FFIV</t>
  </si>
  <si>
    <t>Comp 3:</t>
  </si>
  <si>
    <t>NetScout Systems</t>
  </si>
  <si>
    <t>Arbor is the incumbent in carrier DDoS scrubbing, where Thunder TPS competes. Same carrier customers, same exposure to service provider capex</t>
  </si>
  <si>
    <t>NTCT</t>
  </si>
  <si>
    <t>Comp 4:</t>
  </si>
  <si>
    <t>Akamai Technologies</t>
  </si>
  <si>
    <t>Delivers DDoS and API protection to the same buyers from the cloud rather than an appliance. Prices the substitute architecture ATEN is defending against</t>
  </si>
  <si>
    <t>AKAM</t>
  </si>
  <si>
    <t>Comp 5:</t>
  </si>
  <si>
    <t>Extreme Networks</t>
  </si>
  <si>
    <t>Mid-cap networking hardware with a similar revenue base, product/services mix, and enterprise spending exposure. Minimal product overlap</t>
  </si>
  <si>
    <t>EXTR</t>
  </si>
  <si>
    <t>Comp 6:</t>
  </si>
  <si>
    <t>Cisco Systems</t>
  </si>
  <si>
    <t>Competes with Thunder CGN in carrier-grade traffic processing. Large-cap sector reference; the overlapping line is small within Cisco</t>
  </si>
  <si>
    <t>CSCO</t>
  </si>
  <si>
    <t>DCF:</t>
  </si>
  <si>
    <t>Mid-year Convention</t>
  </si>
  <si>
    <t>Sensitivity Step k</t>
  </si>
  <si>
    <t>Sensitivity Step PGR</t>
  </si>
  <si>
    <t>Portfolio Compliance:</t>
  </si>
  <si>
    <t>Active Scenario:</t>
  </si>
  <si>
    <t>Actual</t>
  </si>
  <si>
    <t>Forcast</t>
  </si>
  <si>
    <t>Total Revenue</t>
  </si>
  <si>
    <t>Memo: Growth YoY %</t>
  </si>
  <si>
    <t xml:space="preserve">Microsoft  ( % ) </t>
  </si>
  <si>
    <t>( + ) Est. Microsoft Revenue ($)</t>
  </si>
  <si>
    <t>( + ) Total Revenue, excl. Microsoft ($)</t>
  </si>
  <si>
    <t>&lt;--Growth Dif. Vs. Microsoft</t>
  </si>
  <si>
    <t>Microsoft % of Total Revenue</t>
  </si>
  <si>
    <t>Services Revenue</t>
  </si>
  <si>
    <t>Step</t>
  </si>
  <si>
    <t>Implied Product Revenue</t>
  </si>
  <si>
    <t>Product COGS (Margin)</t>
  </si>
  <si>
    <t>Services COGS (YoY Growth ( % ))</t>
  </si>
  <si>
    <t>S&amp;M (Margin)</t>
  </si>
  <si>
    <t>R&amp;D (Margin)</t>
  </si>
  <si>
    <t>G&amp;A (Margin)</t>
  </si>
  <si>
    <t>Amort. of Acquired Intangibles</t>
  </si>
  <si>
    <t>Interest Income</t>
  </si>
  <si>
    <t>Depreciation</t>
  </si>
  <si>
    <t>CapEx</t>
  </si>
  <si>
    <t>Δ Net Working Capital</t>
  </si>
  <si>
    <t>( + ) Deferred Revenue</t>
  </si>
  <si>
    <t>s</t>
  </si>
  <si>
    <t>Accounts Receivable</t>
  </si>
  <si>
    <t xml:space="preserve">Inventory </t>
  </si>
  <si>
    <t xml:space="preserve">Prepaid Expenses </t>
  </si>
  <si>
    <t>Total Current Assets</t>
  </si>
  <si>
    <t>Accounts Payable</t>
  </si>
  <si>
    <t>Accrued Expenses</t>
  </si>
  <si>
    <t>Deferred Revenue</t>
  </si>
  <si>
    <t>Total Current Liabilities</t>
  </si>
  <si>
    <t>Net Working Capital</t>
  </si>
  <si>
    <t>Change in NWC</t>
  </si>
  <si>
    <t>n.a.</t>
  </si>
  <si>
    <t>Δ Net Working Capital Calculations</t>
  </si>
  <si>
    <t>DSO:</t>
  </si>
  <si>
    <t>( /  ) Sales</t>
  </si>
  <si>
    <t>DSO</t>
  </si>
  <si>
    <t>DIO:</t>
  </si>
  <si>
    <t>Inventory</t>
  </si>
  <si>
    <t>( /  ) Cost of Goods Sold</t>
  </si>
  <si>
    <t xml:space="preserve">( x ) illustrative adj. </t>
  </si>
  <si>
    <t>DIO</t>
  </si>
  <si>
    <t>DPO:</t>
  </si>
  <si>
    <t>DPO</t>
  </si>
  <si>
    <t>Prepaid % of Sales</t>
  </si>
  <si>
    <t xml:space="preserve">Accrued % of Sales </t>
  </si>
  <si>
    <t>Deferred Rev % of Sales</t>
  </si>
  <si>
    <t>Annual</t>
  </si>
  <si>
    <t>Quarterly</t>
  </si>
  <si>
    <t>FY'22</t>
  </si>
  <si>
    <t>FY'23</t>
  </si>
  <si>
    <t>FY'24</t>
  </si>
  <si>
    <t>FY'25</t>
  </si>
  <si>
    <t>LTM</t>
  </si>
  <si>
    <t>Q1'22</t>
  </si>
  <si>
    <t>Q2'22</t>
  </si>
  <si>
    <t>Q3'22</t>
  </si>
  <si>
    <t>Q4'22</t>
  </si>
  <si>
    <t>Q1'23</t>
  </si>
  <si>
    <t>Q2'23</t>
  </si>
  <si>
    <t>Q3'23</t>
  </si>
  <si>
    <t>Q4'23</t>
  </si>
  <si>
    <t>Q1'24</t>
  </si>
  <si>
    <t>Q2'24</t>
  </si>
  <si>
    <t>Q3'24</t>
  </si>
  <si>
    <t>Q4'24</t>
  </si>
  <si>
    <t>Q1'25</t>
  </si>
  <si>
    <t>Q2'25</t>
  </si>
  <si>
    <t>Q3'25</t>
  </si>
  <si>
    <t>Q4'25</t>
  </si>
  <si>
    <t>Q1'26</t>
  </si>
  <si>
    <t>Q2'26</t>
  </si>
  <si>
    <t>j</t>
  </si>
  <si>
    <t>Income statement as of 2Q'26</t>
  </si>
  <si>
    <t>Products</t>
  </si>
  <si>
    <t>Services</t>
  </si>
  <si>
    <t>Total Net Revenue</t>
  </si>
  <si>
    <t>( - ) Products cost of revenue</t>
  </si>
  <si>
    <t>( - ) Services cost of revenue</t>
  </si>
  <si>
    <t>Gross Profit</t>
  </si>
  <si>
    <t>( - ) Sales and marketing</t>
  </si>
  <si>
    <t>( - ) Research and development</t>
  </si>
  <si>
    <t>( - ) General and administrative</t>
  </si>
  <si>
    <t>Income from Operations</t>
  </si>
  <si>
    <t>( + ) Interest income</t>
  </si>
  <si>
    <t>( + / - ) Interest and other income (expense), net</t>
  </si>
  <si>
    <t>Income before income taxes</t>
  </si>
  <si>
    <t>( - ) Provision for income taxes</t>
  </si>
  <si>
    <t>Net Income</t>
  </si>
  <si>
    <t>Net income per share:</t>
  </si>
  <si>
    <t>Basic</t>
  </si>
  <si>
    <t>Diluted</t>
  </si>
  <si>
    <t>Weighted-average shares used in computing net income per share:</t>
  </si>
  <si>
    <t>Memo: Ratio Analysis</t>
  </si>
  <si>
    <t>Products Revenue Growth YoY (%)</t>
  </si>
  <si>
    <t>Services Revenue Growth YoY (%)</t>
  </si>
  <si>
    <t>Total Net Revenue Growth YoY (%)</t>
  </si>
  <si>
    <t>Products COGS Margin (%)</t>
  </si>
  <si>
    <t>Services COGS Margin (%)</t>
  </si>
  <si>
    <t>S&amp;M Margin (%)</t>
  </si>
  <si>
    <t>R&amp;D Margin (%)</t>
  </si>
  <si>
    <t>G&amp;A Margin (%)</t>
  </si>
  <si>
    <t>Interest Income as % Revenues</t>
  </si>
  <si>
    <t>Interest and Other Income (Expense) % Revenues</t>
  </si>
  <si>
    <t>Effective tax rate</t>
  </si>
  <si>
    <t>Source</t>
  </si>
  <si>
    <t>Balance Sheet as of 2Q'26</t>
  </si>
  <si>
    <t>Cash and cash equivalents</t>
  </si>
  <si>
    <t>Marketable securities</t>
  </si>
  <si>
    <t>Accounts receivable, net of allowances of $19 and $66, respectively</t>
  </si>
  <si>
    <t>Prepaid expenses and other current assets</t>
  </si>
  <si>
    <t>Total current assets</t>
  </si>
  <si>
    <t>Property and equipment, net</t>
  </si>
  <si>
    <t>Goodwill</t>
  </si>
  <si>
    <t>Intangible assets, net</t>
  </si>
  <si>
    <t>Deferred tax assets, net</t>
  </si>
  <si>
    <t>Other non-current assets</t>
  </si>
  <si>
    <t>Total assets</t>
  </si>
  <si>
    <t>Accounts payable</t>
  </si>
  <si>
    <t>Accrued and other liabilities</t>
  </si>
  <si>
    <t>Deferred revenue, current</t>
  </si>
  <si>
    <t>Short-term debt, net</t>
  </si>
  <si>
    <t>Total current liabilities</t>
  </si>
  <si>
    <t>Deferred revenue, non-current</t>
  </si>
  <si>
    <t>Long-term debt</t>
  </si>
  <si>
    <t>Other non-current liabilities</t>
  </si>
  <si>
    <t>Total liabilities</t>
  </si>
  <si>
    <t>Common stock, $0.00001 par value: 500,000 shares authorized; 89,003 and 87,123 shares issued and 74,359 and 73,738 shares outstanding, respectively</t>
  </si>
  <si>
    <t>Treasury stock, at cost: 14,644 and 13,384 shares, respectively</t>
  </si>
  <si>
    <t>Additional paid-in-capital</t>
  </si>
  <si>
    <t>Dividends paid</t>
  </si>
  <si>
    <t>Accumulated other comprehensive income (loss)</t>
  </si>
  <si>
    <t>Retained earnings</t>
  </si>
  <si>
    <t>Accumulated deficit</t>
  </si>
  <si>
    <t>Total stockholders' equity</t>
  </si>
  <si>
    <t>Total liabilities and stockholders' equity</t>
  </si>
  <si>
    <t>Memo: Balance Check</t>
  </si>
  <si>
    <t xml:space="preserve">DIO </t>
  </si>
  <si>
    <t>CCC</t>
  </si>
  <si>
    <t>Prepaid expenses and other current assets % LTM revenues</t>
  </si>
  <si>
    <t>Accrued and other liabilities % LTM revenues</t>
  </si>
  <si>
    <t>Deferred revenue, total % LTM revenues</t>
  </si>
  <si>
    <t>Deferred revenue current % total</t>
  </si>
  <si>
    <t>Cash Flow Statement as of 2Q'26</t>
  </si>
  <si>
    <t>CFO</t>
  </si>
  <si>
    <t>Net income</t>
  </si>
  <si>
    <t>Depreciation and amortization</t>
  </si>
  <si>
    <t>Stock-based compensation</t>
  </si>
  <si>
    <t>Provision for (recovery from) credit losses and sales returns</t>
  </si>
  <si>
    <t>Other non-cash items</t>
  </si>
  <si>
    <t>Changes in operating assets and liabilities</t>
  </si>
  <si>
    <t>Accounts receivable</t>
  </si>
  <si>
    <t>Prepaid expenses and other assets</t>
  </si>
  <si>
    <t>Deferred revenue</t>
  </si>
  <si>
    <t>Net cash provided by operating activities</t>
  </si>
  <si>
    <t>CFI</t>
  </si>
  <si>
    <t>Proceeds from sales of marketable securities</t>
  </si>
  <si>
    <t>Proceeds from maturities of marketable securities</t>
  </si>
  <si>
    <t>Purchases of marketable securities</t>
  </si>
  <si>
    <t>Acquisition</t>
  </si>
  <si>
    <t>Capital expenditures</t>
  </si>
  <si>
    <t>Net cash used in investing activities</t>
  </si>
  <si>
    <t>CFF</t>
  </si>
  <si>
    <t>Proceeds from issuance of common stock under employee equity incentive plans</t>
  </si>
  <si>
    <t>Proceeds from the issuance of convertible notes</t>
  </si>
  <si>
    <t>Payment of debt issuance costs</t>
  </si>
  <si>
    <t>Repurchases of common stock</t>
  </si>
  <si>
    <t>Payments for dividends</t>
  </si>
  <si>
    <t>Net cash provided by (used in) financing activities</t>
  </si>
  <si>
    <t>Net increase (decrease) in cash and cash equivalents</t>
  </si>
  <si>
    <t>( + ) Cash and cash equivalents-beginning of period</t>
  </si>
  <si>
    <t>Cash and cash equivalents-end of period</t>
  </si>
  <si>
    <t>Supplemental Disclosures:</t>
  </si>
  <si>
    <t>Cash paid for income taxes, net</t>
  </si>
  <si>
    <t>Cash paid for interest on debt</t>
  </si>
  <si>
    <t>Cash paid for interest</t>
  </si>
  <si>
    <t>Capex % LTM revenues</t>
  </si>
  <si>
    <t>D&amp;A % LTM revenues</t>
  </si>
  <si>
    <t>Capex % D&amp;A</t>
  </si>
  <si>
    <t>SBC % LTM revenues</t>
  </si>
  <si>
    <t xml:space="preserve"> </t>
  </si>
  <si>
    <t>Debt Principal</t>
  </si>
  <si>
    <t>Beginning Balance</t>
  </si>
  <si>
    <t>( -  ) Cash Interest Paid</t>
  </si>
  <si>
    <t>( +  ) Effective Interest Expense</t>
  </si>
  <si>
    <t>( + ) Issuance Cost Amort.</t>
  </si>
  <si>
    <t>Ending Debt Balance</t>
  </si>
  <si>
    <t>Memo: Interest Expense Reported</t>
  </si>
  <si>
    <t>Cost of Equity</t>
  </si>
  <si>
    <t>Levered Equity</t>
  </si>
  <si>
    <t>Market</t>
  </si>
  <si>
    <t>Unlevered Equity</t>
  </si>
  <si>
    <t>Comparable Companies</t>
  </si>
  <si>
    <t>NTM P/E</t>
  </si>
  <si>
    <t>Implied k</t>
  </si>
  <si>
    <t>Risk Premium</t>
  </si>
  <si>
    <t>Gross Debt</t>
  </si>
  <si>
    <t>Capitalization</t>
  </si>
  <si>
    <t>D/E</t>
  </si>
  <si>
    <t>Growth Rate</t>
  </si>
  <si>
    <t>Risk-Free Rate</t>
  </si>
  <si>
    <t>Mean</t>
  </si>
  <si>
    <t>Median</t>
  </si>
  <si>
    <t>Target Cost of Equity</t>
  </si>
  <si>
    <t>Target Debt-to-Equity Ratio</t>
  </si>
  <si>
    <t>Mean / Median</t>
  </si>
  <si>
    <t>Target Marginal Tax Rate</t>
  </si>
  <si>
    <t>Toggle</t>
  </si>
  <si>
    <t>Peer Unlevered Risk Premium</t>
  </si>
  <si>
    <t>Target Levered Equity Risk Premium</t>
  </si>
  <si>
    <t>( + ) Risk-Free Rate</t>
  </si>
  <si>
    <t>Peer Support</t>
  </si>
  <si>
    <t/>
  </si>
  <si>
    <t>Forecast</t>
  </si>
  <si>
    <t>Street Estimates</t>
  </si>
  <si>
    <t>Forecast vs. Street</t>
  </si>
  <si>
    <t>( + ) Depreciation</t>
  </si>
  <si>
    <t>( + ) Amortization</t>
  </si>
  <si>
    <t>( - ) Capital Expenditures</t>
  </si>
  <si>
    <t>( + / - ) Δ Net Working Capital</t>
  </si>
  <si>
    <t>( + ) Net New Debt</t>
  </si>
  <si>
    <t>FCFE</t>
  </si>
  <si>
    <t>Memo: FCFE excl. debt issuance</t>
  </si>
  <si>
    <t>Projected Financials</t>
  </si>
  <si>
    <t>Projected</t>
  </si>
  <si>
    <t>Terminal</t>
  </si>
  <si>
    <t>Year</t>
  </si>
  <si>
    <t>CAGR</t>
  </si>
  <si>
    <t>Forecast Years (Round-Up)</t>
  </si>
  <si>
    <t>Product Revenue</t>
  </si>
  <si>
    <t>YoY Growth (%)</t>
  </si>
  <si>
    <t>( - ) Total Expenses</t>
  </si>
  <si>
    <t>Net Income Margin (%)</t>
  </si>
  <si>
    <t>Discounted Cash Flow</t>
  </si>
  <si>
    <t>NPV</t>
  </si>
  <si>
    <t>Mid-year convention</t>
  </si>
  <si>
    <t>Stub Period</t>
  </si>
  <si>
    <t>Discount Period</t>
  </si>
  <si>
    <t>Discount Rate</t>
  </si>
  <si>
    <t>Discount Factor</t>
  </si>
  <si>
    <t>PV of FCFE</t>
  </si>
  <si>
    <t>Perpetuity Growth Method</t>
  </si>
  <si>
    <t>Sensitivity Analysis</t>
  </si>
  <si>
    <t>k</t>
  </si>
  <si>
    <t>PGR</t>
  </si>
  <si>
    <t>Scenario Comparison</t>
  </si>
  <si>
    <t>Terminal Year Free Cash Flow</t>
  </si>
  <si>
    <t>Microsoft Customer Growth (%)</t>
  </si>
  <si>
    <t>Perpetuity Growth Rate</t>
  </si>
  <si>
    <t>Microsfot Growth</t>
  </si>
  <si>
    <t>Terminal Year Net Income</t>
  </si>
  <si>
    <t>Terminal Value</t>
  </si>
  <si>
    <t>Terminal Year FCFE</t>
  </si>
  <si>
    <t>Implied Share Price</t>
  </si>
  <si>
    <t>Present Value of Terminal Value</t>
  </si>
  <si>
    <t>Present Value of Cash Flows</t>
  </si>
  <si>
    <t>Equity Value</t>
  </si>
  <si>
    <t>( / ) Diluted Shares Outs.</t>
  </si>
  <si>
    <t>Peer Comps</t>
  </si>
  <si>
    <t>Sales</t>
  </si>
  <si>
    <t>Company</t>
  </si>
  <si>
    <t>Fiscal</t>
  </si>
  <si>
    <t>Total</t>
  </si>
  <si>
    <t>FactSet RBICS</t>
  </si>
  <si>
    <t>5 Year</t>
  </si>
  <si>
    <t>Name</t>
  </si>
  <si>
    <t>Period</t>
  </si>
  <si>
    <t>P/E NTM (x)</t>
  </si>
  <si>
    <t>P/E CY1 (x)</t>
  </si>
  <si>
    <t>Debt</t>
  </si>
  <si>
    <t>Value</t>
  </si>
  <si>
    <t>Industry</t>
  </si>
  <si>
    <t>Sub-Industry</t>
  </si>
  <si>
    <t>Growth</t>
  </si>
  <si>
    <t>A10 Networks</t>
  </si>
  <si>
    <t>ATEN-US</t>
  </si>
  <si>
    <t>06/30/2026</t>
  </si>
  <si>
    <t>General Carrier Edge and Access Equipment</t>
  </si>
  <si>
    <t>Carrier Edge Network Management Equipment</t>
  </si>
  <si>
    <t>RDWR-US</t>
  </si>
  <si>
    <t>-</t>
  </si>
  <si>
    <t>Network Infrastructure Software</t>
  </si>
  <si>
    <t>Network Security Access Policy Software</t>
  </si>
  <si>
    <t>NTCT-US</t>
  </si>
  <si>
    <t>Network Administration Software</t>
  </si>
  <si>
    <t>FFIV-US</t>
  </si>
  <si>
    <t>Network Security Software</t>
  </si>
  <si>
    <t>Calix</t>
  </si>
  <si>
    <t>CALX-US</t>
  </si>
  <si>
    <t>06/27/2026</t>
  </si>
  <si>
    <t>General Carrier Edge (Access) Equipment</t>
  </si>
  <si>
    <t>Digi International</t>
  </si>
  <si>
    <t>DGII-US</t>
  </si>
  <si>
    <t>Other Local Area Networking Equipment</t>
  </si>
  <si>
    <t>EXTR-US</t>
  </si>
  <si>
    <t>06/2026</t>
  </si>
  <si>
    <t>Other Wide Area Networking Equipment</t>
  </si>
  <si>
    <t>Other Wide Area Networking (WAN) Equipment</t>
  </si>
  <si>
    <t>Harmonic</t>
  </si>
  <si>
    <t>HLIT-US</t>
  </si>
  <si>
    <t>07/03/2026</t>
  </si>
  <si>
    <t>Telecommunications Industry Software</t>
  </si>
  <si>
    <t>Telecommunications Operations Support Software</t>
  </si>
  <si>
    <t>Consensus Cloud Solutions</t>
  </si>
  <si>
    <t>CCSI-US</t>
  </si>
  <si>
    <t>Productivity Software</t>
  </si>
  <si>
    <t>AKAM-US</t>
  </si>
  <si>
    <t>Gen Digital</t>
  </si>
  <si>
    <t>GEN-US</t>
  </si>
  <si>
    <t>Multi-Type Home and Office Software</t>
  </si>
  <si>
    <t>CSCO-US</t>
  </si>
  <si>
    <t>07/2026</t>
  </si>
  <si>
    <t>ADTRAN Holdings</t>
  </si>
  <si>
    <t>ADTN-US</t>
  </si>
  <si>
    <t>Fortinet</t>
  </si>
  <si>
    <t>FTNT-US</t>
  </si>
  <si>
    <t>Ciena</t>
  </si>
  <si>
    <t>CIEN-US</t>
  </si>
  <si>
    <t>08/01/2026</t>
  </si>
  <si>
    <t>Carrier Core (Backbone) Equipment</t>
  </si>
  <si>
    <t>Progress Software</t>
  </si>
  <si>
    <t>PRGS-US</t>
  </si>
  <si>
    <t>05/31/2026</t>
  </si>
  <si>
    <t>Specialized Design and Engineering Software</t>
  </si>
  <si>
    <t>Software Development Software</t>
  </si>
  <si>
    <t>Palo Alto Networks</t>
  </si>
  <si>
    <t>PANW-US</t>
  </si>
  <si>
    <t>04/30/2026</t>
  </si>
  <si>
    <t>RSU/PSU/ESPP</t>
  </si>
  <si>
    <t xml:space="preserve">Shares Outstanding </t>
  </si>
  <si>
    <t>million</t>
  </si>
  <si>
    <t xml:space="preserve">Current Stock Price </t>
  </si>
  <si>
    <t xml:space="preserve">Unrecognized Stock Comp. Expense </t>
  </si>
  <si>
    <t xml:space="preserve">Non-Vested Shares </t>
  </si>
  <si>
    <t>TSM Method:</t>
  </si>
  <si>
    <t xml:space="preserve">Shares Repurcased </t>
  </si>
  <si>
    <t xml:space="preserve">New Shares Added </t>
  </si>
  <si>
    <t>MSFT-USA</t>
  </si>
  <si>
    <t>Cash Flow (M)</t>
  </si>
  <si>
    <t>Jun '25</t>
  </si>
  <si>
    <t>Jun '26</t>
  </si>
  <si>
    <t>Sep '26E</t>
  </si>
  <si>
    <t>Dec '26E</t>
  </si>
  <si>
    <t>Mar '27E</t>
  </si>
  <si>
    <t>Jun '27E</t>
  </si>
  <si>
    <t>Sep '27E</t>
  </si>
  <si>
    <t>Dec '27E</t>
  </si>
  <si>
    <t>Mar '28E</t>
  </si>
  <si>
    <t>Jun '28E</t>
  </si>
  <si>
    <t>Jun '29E</t>
  </si>
  <si>
    <t xml:space="preserve">Q1  </t>
  </si>
  <si>
    <t xml:space="preserve">Q2  </t>
  </si>
  <si>
    <t xml:space="preserve">Q3  </t>
  </si>
  <si>
    <t xml:space="preserve">Q4  </t>
  </si>
  <si>
    <t>Capital Expenditures</t>
  </si>
  <si>
    <t>Free Cash Flow</t>
  </si>
  <si>
    <t>Cash Flow from Operations</t>
  </si>
  <si>
    <t>Cash Flow from Investing</t>
  </si>
  <si>
    <t>Cash Flow from Financing</t>
  </si>
  <si>
    <t>Product Segments (M)</t>
  </si>
  <si>
    <t>Sales - Product Line 1</t>
  </si>
  <si>
    <t>Productivity and Business Processes</t>
  </si>
  <si>
    <t>- Microsoft 365 Commercial Products and Cloud Services</t>
  </si>
  <si>
    <t>- Microsoft 365 Consumer Products and Cloud Services</t>
  </si>
  <si>
    <t>Operating Income</t>
  </si>
  <si>
    <t>Intelligent Cloud</t>
  </si>
  <si>
    <t>More Personal Computing</t>
  </si>
  <si>
    <t>Sales - Product Line 2</t>
  </si>
  <si>
    <t>Product</t>
  </si>
  <si>
    <t>Service and other</t>
  </si>
  <si>
    <t>Notes:</t>
  </si>
  <si>
    <t>( 1 ) Amort. &amp; Depreciation are fully scheduled in filings</t>
  </si>
  <si>
    <t>( 2 ) DCF CAN BE Quarterly &amp; Annually - should be Q3'26E,,,FY'27E</t>
  </si>
  <si>
    <t xml:space="preserve">( 3 ) Non-GAAP P/E for COMPS vs. GAAP Forcast for ATEN - maybe need reconcil. </t>
  </si>
  <si>
    <t xml:space="preserve">       ( a ) SBC inclusion and other non-GAAP items as non-GAAP income is ~40% SBC and impact on shares outs. In DCF</t>
  </si>
  <si>
    <t xml:space="preserve">( 4 ) BACKLOG: Backlog represents orders confirmed with a purchase order for products to be shipped to customers with approved credit status. Orders may be subject to cancellation, rescheduling by customers and product specification changes by customers. Although we believe that the backlog orders are firm, purchase orders may be canceled or rescheduled by the customer prior to shipment without significant cost. For these reasons, we believe that our product backlog at any given date is not a reliable indicator of future revenues. </t>
  </si>
  <si>
    <t>( 5 ) Effective vs. Marginal Tax Rate</t>
  </si>
  <si>
    <t>Outstanding:</t>
  </si>
  <si>
    <t>( 1 ) Revenue Build</t>
  </si>
  <si>
    <t>( 2 ) Other Cash flow assumptions</t>
  </si>
  <si>
    <t>( 3 ) Link everything to cash flow assumptions once down</t>
  </si>
  <si>
    <t>( 4 ) Sticky If Base / Cons / Bull</t>
  </si>
  <si>
    <t>( 5 ) Revenue Graph</t>
  </si>
  <si>
    <t>( 6 ) Update Comps PGR &amp; ETR (same for A10)</t>
  </si>
  <si>
    <t>( 7 ) Equity Price Graph</t>
  </si>
  <si>
    <t xml:space="preserve">( 8 ) Update assumptions scenarios </t>
  </si>
  <si>
    <t xml:space="preserve">         ( a ) Maybe something with stock dilution / ect.    </t>
  </si>
  <si>
    <t>( 9 ) debt / equity holders??</t>
  </si>
  <si>
    <t>( 10 ) Comps Analysis --- more for PPT</t>
  </si>
  <si>
    <t>Price History: ATEN-US</t>
  </si>
  <si>
    <t>Price</t>
  </si>
  <si>
    <t>CVol</t>
  </si>
  <si>
    <t>Change</t>
  </si>
  <si>
    <t>% Change</t>
  </si>
  <si>
    <t>% Return</t>
  </si>
  <si>
    <t>Total Return (Gross)</t>
  </si>
  <si>
    <t>Cumulative Return %</t>
  </si>
  <si>
    <t>Open</t>
  </si>
  <si>
    <t>High</t>
  </si>
  <si>
    <t>Low</t>
  </si>
  <si>
    <t>Cumulative Change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</si>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</sst>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5" formatCode="&quot;$&quot;#,##0_);\(&quot;$&quot;#,##0\)"/>
    <numFmt numFmtId="8" formatCode="&quot;$&quot;#,##0.00_);[Red]\(&quot;$&quot;#,##0.00\)"/>
    <numFmt numFmtId="44" formatCode="_(&quot;$&quot;* #,##0.00_);_(&quot;$&quot;* \(#,##0.00\);_(&quot;$&quot;* &quot;-&quot;??_);_(@_)"/>
    <numFmt numFmtId="164" formatCode="0.0%"/>
    <numFmt numFmtId="165" formatCode="0.0%_);\(0.0%\);0.0%_);@_)"/>
    <numFmt numFmtId="166" formatCode="#,##0.00_);\(#,##0.00\);#,##0.00_);@_)"/>
    <numFmt numFmtId="167" formatCode="0&quot;A&quot;"/>
    <numFmt numFmtId="168" formatCode="#,##0.000_);\(#,##0.000\)"/>
    <numFmt numFmtId="169" formatCode="#,##0.000_);\(#,##0.000\);#,##0.000_);@_)"/>
    <numFmt numFmtId="170" formatCode="0.0%;\(0.0%\)"/>
    <numFmt numFmtId="171" formatCode="_(#,##0_);_(\(#,##0\);_(&quot;-&quot;_);_(@_)"/>
    <numFmt numFmtId="172" formatCode="_(#,##0_);\(#,##0\);_(&quot;–&quot;_);_(@_)"/>
    <numFmt numFmtId="173" formatCode="_(0_);_(\(0\);_(&quot;-&quot;_);@_)"/>
    <numFmt numFmtId="174" formatCode="_(\$* #,##0.00_);_(\$* \(#,##0.00\);_(\$* &quot;-&quot;_);_(@_)"/>
    <numFmt numFmtId="175" formatCode="_(\$* #,##0_);_(\$* \(#,##0\);_(\$* &quot;-&quot;_);_(@_)"/>
    <numFmt numFmtId="176" formatCode="_([$$]#,##0_);\([$$]#,##0\);_(&quot;–&quot;_);_(@_)"/>
    <numFmt numFmtId="177" formatCode="_(#,##0.00_);\(#,##0.00\);_(&quot;–&quot;_);_(@_)"/>
    <numFmt numFmtId="178" formatCode="_(#,##0.0%_);\(#,##0.0%\);_(&quot;–&quot;_)_%;_(@_)_%"/>
    <numFmt numFmtId="179" formatCode="[$$-380A]\ #,##0.00;\-[$$-380A]\ #,##0.00"/>
    <numFmt numFmtId="180" formatCode="_([$$]#,##0.00_);\([$$]#,##0.00\);_(&quot;–&quot;_);_(@_)"/>
    <numFmt numFmtId="181" formatCode="[$-409]mmm\-yy;@"/>
    <numFmt numFmtId="182" formatCode="0.000%"/>
    <numFmt numFmtId="183" formatCode="_(0.0\x_);\(0.0\x\);_(&quot;–&quot;_);_(@_)"/>
    <numFmt numFmtId="184" formatCode="_(#,##0.00%_);\(#,##0.00%\);_(&quot;–&quot;_)_%;_(@_)_%"/>
    <numFmt numFmtId="185" formatCode="_(#,##0.000%_);\(#,##0.000%\);_(&quot;–&quot;_)_%;_(@_)_%"/>
    <numFmt numFmtId="186" formatCode="_(0.00\x_);\(0.00\x\);_(&quot;–&quot;_);_(@_)"/>
    <numFmt numFmtId="187" formatCode="_(#,##0.0_);\(#,##0.0\);_(&quot;–&quot;_);_(@_)"/>
    <numFmt numFmtId="188" formatCode="mmmm\ dd"/>
    <numFmt numFmtId="189" formatCode="m/d/yy;@"/>
    <numFmt numFmtId="190" formatCode="yyyy"/>
    <numFmt numFmtId="191" formatCode="#,##0.00\x"/>
    <numFmt numFmtId="192" formatCode="#,##0.0"/>
    <numFmt numFmtId="193" formatCode="_(#,##0.000_);\(#,##0.000\);_(&quot;–&quot;_);_(@_)"/>
    <numFmt numFmtId="194" formatCode="0.0000%"/>
    <numFmt numFmtId="195" formatCode="0.00%;\(0.00%\)"/>
    <numFmt numFmtId="196" formatCode="_([$$]#,##0.0_);\([$$]#,##0.0\);_(&quot;–&quot;_);_(@_)"/>
    <numFmt numFmtId="197" formatCode="0.0&quot;x&quot;"/>
    <numFmt numFmtId="198" formatCode="+0.0%;(0.0%);0.0%"/>
  </numFmts>
  <fonts count="77" x14ac:knownFonts="1">
    <font>
      <sz val="11"/>
      <color theme="1"/>
      <name val="Arial"/>
    </font>
    <font>
      <sz val="11"/>
      <color theme="1"/>
      <name val="Calibri"/>
      <family val="2"/>
      <scheme val="minor"/>
    </font>
    <font>
      <b/>
      <sz val="10"/>
      <color theme="1"/>
      <name val="Arial"/>
      <family val="2"/>
    </font>
    <font>
      <sz val="11"/>
      <name val="Arial"/>
      <family val="2"/>
    </font>
    <font>
      <b/>
      <sz val="10"/>
      <color theme="0"/>
      <name val="Arial"/>
      <family val="2"/>
    </font>
    <font>
      <i/>
      <sz val="10"/>
      <color theme="1"/>
      <name val="Arial"/>
      <family val="2"/>
    </font>
    <font>
      <sz val="8"/>
      <color theme="1"/>
      <name val="Arial"/>
      <family val="2"/>
    </font>
    <font>
      <sz val="8"/>
      <color theme="0"/>
      <name val="Arial"/>
      <family val="2"/>
    </font>
    <font>
      <b/>
      <sz val="8"/>
      <color theme="0"/>
      <name val="Arial"/>
      <family val="2"/>
    </font>
    <font>
      <b/>
      <sz val="8"/>
      <color theme="1"/>
      <name val="Arial"/>
      <family val="2"/>
    </font>
    <font>
      <b/>
      <sz val="8"/>
      <color rgb="FF0A1AE4"/>
      <name val="Arial"/>
      <family val="2"/>
    </font>
    <font>
      <sz val="10"/>
      <color rgb="FF000000"/>
      <name val="Arial"/>
      <family val="2"/>
    </font>
    <font>
      <b/>
      <sz val="10"/>
      <color rgb="FF000000"/>
      <name val="Arial"/>
      <family val="2"/>
    </font>
    <font>
      <sz val="9"/>
      <color indexed="81"/>
      <name val="Tahoma"/>
      <family val="2"/>
    </font>
    <font>
      <b/>
      <sz val="9"/>
      <color indexed="81"/>
      <name val="Tahoma"/>
      <family val="2"/>
    </font>
    <font>
      <b/>
      <sz val="8"/>
      <name val="Arial"/>
      <family val="2"/>
    </font>
    <font>
      <b/>
      <u/>
      <sz val="8"/>
      <color theme="5" tint="-0.249977111117893"/>
      <name val="Arial"/>
      <family val="2"/>
    </font>
    <font>
      <sz val="8"/>
      <color rgb="FFC00000"/>
      <name val="Arial"/>
      <family val="2"/>
    </font>
    <font>
      <sz val="8"/>
      <color rgb="FF0A1AE4"/>
      <name val="Arial"/>
      <family val="2"/>
    </font>
    <font>
      <sz val="8"/>
      <name val="Arial"/>
      <family val="2"/>
    </font>
    <font>
      <i/>
      <sz val="8"/>
      <color rgb="FFC00000"/>
      <name val="Arial"/>
      <family val="2"/>
    </font>
    <font>
      <b/>
      <u/>
      <sz val="8"/>
      <color rgb="FF0000FF"/>
      <name val="Arial"/>
      <family val="2"/>
    </font>
    <font>
      <b/>
      <u val="singleAccounting"/>
      <sz val="8"/>
      <name val="Arial"/>
      <family val="2"/>
    </font>
    <font>
      <sz val="7"/>
      <color rgb="FFC00000"/>
      <name val="Arial"/>
      <family val="2"/>
    </font>
    <font>
      <i/>
      <sz val="8"/>
      <color theme="1"/>
      <name val="Arial"/>
      <family val="2"/>
    </font>
    <font>
      <b/>
      <sz val="8"/>
      <color theme="3"/>
      <name val="Arial"/>
      <family val="2"/>
    </font>
    <font>
      <i/>
      <sz val="8"/>
      <color theme="7" tint="-0.249977111117893"/>
      <name val="Arial"/>
      <family val="2"/>
    </font>
    <font>
      <sz val="11"/>
      <color theme="7" tint="-0.249977111117893"/>
      <name val="Arial"/>
      <family val="2"/>
    </font>
    <font>
      <b/>
      <i/>
      <u/>
      <sz val="8"/>
      <color theme="1"/>
      <name val="Arial"/>
      <family val="2"/>
    </font>
    <font>
      <sz val="8"/>
      <color indexed="55"/>
      <name val="Arial"/>
      <family val="2"/>
    </font>
    <font>
      <i/>
      <sz val="8"/>
      <color indexed="8"/>
      <name val="Arial"/>
      <family val="2"/>
    </font>
    <font>
      <b/>
      <sz val="9"/>
      <color indexed="55"/>
      <name val="Tahoma"/>
      <family val="2"/>
    </font>
    <font>
      <sz val="9"/>
      <color indexed="55"/>
      <name val="Tahoma"/>
      <family val="2"/>
    </font>
    <font>
      <b/>
      <u/>
      <sz val="8"/>
      <name val="Arial"/>
      <family val="2"/>
    </font>
    <font>
      <b/>
      <sz val="7"/>
      <color rgb="FFC00000"/>
      <name val="Arial"/>
      <family val="2"/>
    </font>
    <font>
      <sz val="8"/>
      <color rgb="FF0041E4"/>
      <name val="Arial"/>
      <family val="2"/>
    </font>
    <font>
      <b/>
      <i/>
      <sz val="8"/>
      <color theme="1"/>
      <name val="Arial"/>
      <family val="2"/>
    </font>
    <font>
      <b/>
      <u val="singleAccounting"/>
      <sz val="8"/>
      <color theme="1"/>
      <name val="Arial"/>
      <family val="2"/>
    </font>
    <font>
      <sz val="8"/>
      <color rgb="FF008000"/>
      <name val="Arial"/>
      <family val="2"/>
    </font>
    <font>
      <b/>
      <i/>
      <sz val="8"/>
      <color theme="6"/>
      <name val="Arial"/>
      <family val="2"/>
    </font>
    <font>
      <b/>
      <i/>
      <sz val="8"/>
      <color rgb="FF7030A0"/>
      <name val="Arial"/>
      <family val="2"/>
    </font>
    <font>
      <sz val="8"/>
      <color rgb="FF000000"/>
      <name val="Arial"/>
      <family val="2"/>
    </font>
    <font>
      <b/>
      <sz val="8"/>
      <color rgb="FF008000"/>
      <name val="Arial"/>
      <family val="2"/>
    </font>
    <font>
      <u val="singleAccounting"/>
      <sz val="8"/>
      <color theme="1"/>
      <name val="Arial"/>
      <family val="2"/>
    </font>
    <font>
      <b/>
      <u/>
      <sz val="8"/>
      <color theme="1"/>
      <name val="Arial"/>
      <family val="2"/>
    </font>
    <font>
      <b/>
      <sz val="8"/>
      <color rgb="FF000000"/>
      <name val="Arial"/>
      <family val="2"/>
    </font>
    <font>
      <u/>
      <sz val="8"/>
      <color rgb="FF008000"/>
      <name val="Arial"/>
      <family val="2"/>
    </font>
    <font>
      <b/>
      <sz val="8"/>
      <color rgb="FFC00000"/>
      <name val="Arial"/>
      <family val="2"/>
    </font>
    <font>
      <strike/>
      <sz val="8"/>
      <color theme="1"/>
      <name val="Arial"/>
      <family val="2"/>
    </font>
    <font>
      <b/>
      <strike/>
      <sz val="8"/>
      <color theme="1"/>
      <name val="Arial"/>
      <family val="2"/>
    </font>
    <font>
      <b/>
      <u val="singleAccounting"/>
      <sz val="8"/>
      <color theme="3"/>
      <name val="Arial"/>
      <family val="2"/>
    </font>
    <font>
      <u val="singleAccounting"/>
      <sz val="8"/>
      <color theme="3"/>
      <name val="Arial"/>
      <family val="2"/>
    </font>
    <font>
      <sz val="8"/>
      <color theme="3"/>
      <name val="Arial"/>
      <family val="2"/>
    </font>
    <font>
      <b/>
      <i/>
      <sz val="8"/>
      <color theme="3"/>
      <name val="Arial"/>
      <family val="2"/>
    </font>
    <font>
      <sz val="8"/>
      <color rgb="FFFF0000"/>
      <name val="Arial"/>
      <family val="2"/>
    </font>
    <font>
      <sz val="8"/>
      <color rgb="FF0000FF"/>
      <name val="Arial"/>
      <family val="2"/>
    </font>
    <font>
      <b/>
      <i/>
      <sz val="8"/>
      <color rgb="FFFF0000"/>
      <name val="Arial"/>
      <family val="2"/>
    </font>
    <font>
      <b/>
      <sz val="8"/>
      <color rgb="FF008017"/>
      <name val="Arial"/>
      <family val="2"/>
    </font>
    <font>
      <sz val="8"/>
      <color rgb="FF008017"/>
      <name val="Arial"/>
      <family val="2"/>
    </font>
    <font>
      <u/>
      <sz val="12"/>
      <color theme="1"/>
      <name val="Arial"/>
      <family val="2"/>
    </font>
    <font>
      <sz val="11"/>
      <color theme="1"/>
      <name val="Arial"/>
      <family val="2"/>
    </font>
    <font>
      <b/>
      <i/>
      <sz val="8"/>
      <color rgb="FF000000"/>
      <name val="Arial"/>
      <family val="2"/>
    </font>
    <font>
      <sz val="8"/>
      <color indexed="63"/>
      <name val="Arial"/>
      <family val="2"/>
    </font>
    <font>
      <b/>
      <u val="singleAccounting"/>
      <sz val="10"/>
      <color rgb="FF000000"/>
      <name val="Arial"/>
      <family val="2"/>
    </font>
    <font>
      <sz val="11"/>
      <color theme="1"/>
      <name val="Arial"/>
      <family val="2"/>
    </font>
    <font>
      <b/>
      <sz val="8"/>
      <color rgb="FF0000FF"/>
      <name val="Arial"/>
      <family val="2"/>
    </font>
    <font>
      <sz val="10"/>
      <color theme="1"/>
      <name val="Arial"/>
      <family val="2"/>
    </font>
    <font>
      <sz val="10"/>
      <color rgb="FFFF0000"/>
      <name val="Arial"/>
      <family val="2"/>
    </font>
    <font>
      <b/>
      <sz val="10"/>
      <color rgb="FF003366"/>
      <name val="Arial"/>
      <family val="2"/>
    </font>
    <font>
      <i/>
      <sz val="11"/>
      <color theme="1"/>
      <name val="Arial"/>
      <family val="2"/>
    </font>
    <font>
      <b/>
      <i/>
      <sz val="11"/>
      <color theme="1"/>
      <name val="Arial"/>
      <family val="2"/>
    </font>
    <font>
      <i/>
      <sz val="8"/>
      <color rgb="FF008000"/>
      <name val="Arial"/>
      <family val="2"/>
    </font>
    <font>
      <i/>
      <sz val="8"/>
      <color indexed="63"/>
      <name val="Arial"/>
      <family val="2"/>
    </font>
    <font>
      <i/>
      <sz val="8"/>
      <color rgb="FF0000FF"/>
      <name val="Arial"/>
      <family val="2"/>
    </font>
    <font>
      <sz val="11"/>
      <color rgb="FF000000"/>
      <name val="Arial"/>
      <family val="2"/>
    </font>
    <font>
      <i/>
      <sz val="8"/>
      <color rgb="FF000000"/>
      <name val="Arial"/>
      <family val="2"/>
    </font>
    <font>
      <i/>
      <sz val="8"/>
      <color rgb="FF595959"/>
      <name val="Arial"/>
      <family val="2"/>
    </font>
  </fonts>
  <fills count="24">
    <fill>
      <patternFill patternType="none"/>
    </fill>
    <fill>
      <patternFill patternType="gray125"/>
    </fill>
    <fill>
      <patternFill patternType="solid">
        <fgColor theme="0"/>
        <bgColor theme="0"/>
      </patternFill>
    </fill>
    <fill>
      <patternFill patternType="solid">
        <fgColor rgb="FFFFFFCC"/>
        <bgColor rgb="FFFFFFCC"/>
      </patternFill>
    </fill>
    <fill>
      <patternFill patternType="solid">
        <fgColor rgb="FFE2EFD9"/>
        <bgColor rgb="FFE2EFD9"/>
      </patternFill>
    </fill>
    <fill>
      <patternFill patternType="solid">
        <fgColor rgb="FFFFFFCC"/>
        <bgColor theme="0"/>
      </patternFill>
    </fill>
    <fill>
      <patternFill patternType="solid">
        <fgColor rgb="FFF2F2F2"/>
        <bgColor indexed="64"/>
      </patternFill>
    </fill>
    <fill>
      <patternFill patternType="solid">
        <fgColor theme="3"/>
        <bgColor indexed="64"/>
      </patternFill>
    </fill>
    <fill>
      <patternFill patternType="solid">
        <fgColor rgb="FFFFFFCC"/>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DEEBF5"/>
        <bgColor indexed="64"/>
      </patternFill>
    </fill>
    <fill>
      <patternFill patternType="solid">
        <fgColor theme="3"/>
        <bgColor rgb="FF00336A"/>
      </patternFill>
    </fill>
    <fill>
      <patternFill patternType="solid">
        <fgColor theme="0" tint="-4.9989318521683403E-2"/>
        <bgColor theme="0"/>
      </patternFill>
    </fill>
    <fill>
      <patternFill patternType="solid">
        <fgColor theme="5" tint="0.79998168889431442"/>
        <bgColor theme="0"/>
      </patternFill>
    </fill>
    <fill>
      <patternFill patternType="solid">
        <fgColor theme="4"/>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9F9F9"/>
        <bgColor indexed="64"/>
      </patternFill>
    </fill>
    <fill>
      <patternFill patternType="solid">
        <fgColor rgb="FFC8C8C8"/>
        <bgColor indexed="64"/>
      </patternFill>
    </fill>
    <fill>
      <patternFill patternType="solid">
        <fgColor rgb="FFF0F0F0"/>
        <bgColor indexed="64"/>
      </patternFill>
    </fill>
    <fill>
      <patternFill patternType="solid">
        <fgColor rgb="FFEEC600"/>
        <bgColor indexed="64"/>
      </patternFill>
    </fill>
    <fill>
      <patternFill patternType="solid">
        <fgColor rgb="FFC8C8C8"/>
        <bgColor rgb="FF000000"/>
      </patternFill>
    </fill>
    <fill>
      <patternFill patternType="solid">
        <fgColor rgb="FFF0F0F0"/>
        <bgColor rgb="FF000000"/>
      </patternFill>
    </fill>
  </fills>
  <borders count="57">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dashed">
        <color indexed="64"/>
      </left>
      <right style="dashed">
        <color indexed="64"/>
      </right>
      <top style="thin">
        <color indexed="64"/>
      </top>
      <bottom style="thin">
        <color indexed="64"/>
      </bottom>
      <diagonal/>
    </border>
    <border>
      <left/>
      <right/>
      <top/>
      <bottom style="thin">
        <color theme="3"/>
      </bottom>
      <diagonal/>
    </border>
    <border>
      <left/>
      <right/>
      <top style="thin">
        <color auto="1"/>
      </top>
      <bottom style="thin">
        <color auto="1"/>
      </bottom>
      <diagonal/>
    </border>
    <border>
      <left style="dashed">
        <color theme="3"/>
      </left>
      <right/>
      <top style="dashed">
        <color theme="3"/>
      </top>
      <bottom/>
      <diagonal/>
    </border>
    <border>
      <left/>
      <right/>
      <top style="dashed">
        <color theme="3"/>
      </top>
      <bottom/>
      <diagonal/>
    </border>
    <border>
      <left/>
      <right style="dashed">
        <color theme="3"/>
      </right>
      <top style="dashed">
        <color theme="3"/>
      </top>
      <bottom/>
      <diagonal/>
    </border>
    <border>
      <left style="dashed">
        <color theme="3"/>
      </left>
      <right/>
      <top/>
      <bottom/>
      <diagonal/>
    </border>
    <border>
      <left/>
      <right style="dashed">
        <color theme="3"/>
      </right>
      <top/>
      <bottom/>
      <diagonal/>
    </border>
    <border>
      <left style="dashed">
        <color theme="3"/>
      </left>
      <right/>
      <top/>
      <bottom style="dashed">
        <color theme="3"/>
      </bottom>
      <diagonal/>
    </border>
    <border>
      <left/>
      <right/>
      <top/>
      <bottom style="dashed">
        <color theme="3"/>
      </bottom>
      <diagonal/>
    </border>
    <border>
      <left/>
      <right style="dashed">
        <color theme="3"/>
      </right>
      <top/>
      <bottom style="dashed">
        <color theme="3"/>
      </bottom>
      <diagonal/>
    </border>
    <border>
      <left style="thin">
        <color indexed="64"/>
      </left>
      <right style="thin">
        <color indexed="64"/>
      </right>
      <top style="thin">
        <color indexed="64"/>
      </top>
      <bottom/>
      <diagonal/>
    </border>
    <border>
      <left/>
      <right style="thin">
        <color theme="0"/>
      </right>
      <top/>
      <bottom/>
      <diagonal/>
    </border>
    <border>
      <left style="thin">
        <color theme="0"/>
      </left>
      <right style="thin">
        <color theme="0"/>
      </right>
      <top/>
      <bottom/>
      <diagonal/>
    </border>
    <border>
      <left/>
      <right style="thin">
        <color theme="0"/>
      </right>
      <top/>
      <bottom style="thin">
        <color theme="0"/>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bottom/>
      <diagonal/>
    </border>
    <border>
      <left style="dashed">
        <color rgb="FF000000"/>
      </left>
      <right style="dashed">
        <color rgb="FF000000"/>
      </right>
      <top style="dashed">
        <color rgb="FF000000"/>
      </top>
      <bottom style="thin">
        <color theme="0"/>
      </bottom>
      <diagonal/>
    </border>
    <border>
      <left style="dashed">
        <color rgb="FF000000"/>
      </left>
      <right style="dashed">
        <color rgb="FF000000"/>
      </right>
      <top/>
      <bottom/>
      <diagonal/>
    </border>
    <border>
      <left style="dashed">
        <color rgb="FF000000"/>
      </left>
      <right style="dashed">
        <color rgb="FF000000"/>
      </right>
      <top style="thin">
        <color indexed="64"/>
      </top>
      <bottom style="thin">
        <color indexed="64"/>
      </bottom>
      <diagonal/>
    </border>
    <border>
      <left/>
      <right/>
      <top/>
      <bottom style="thin">
        <color theme="0"/>
      </bottom>
      <diagonal/>
    </border>
    <border>
      <left style="thin">
        <color auto="1"/>
      </left>
      <right style="thin">
        <color auto="1"/>
      </right>
      <top style="thin">
        <color auto="1"/>
      </top>
      <bottom style="thin">
        <color auto="1"/>
      </bottom>
      <diagonal/>
    </border>
    <border>
      <left/>
      <right style="dashed">
        <color indexed="64"/>
      </right>
      <top/>
      <bottom/>
      <diagonal/>
    </border>
    <border>
      <left/>
      <right style="dashed">
        <color indexed="64"/>
      </right>
      <top style="thin">
        <color indexed="64"/>
      </top>
      <bottom style="thin">
        <color indexed="64"/>
      </bottom>
      <diagonal/>
    </border>
    <border>
      <left style="thin">
        <color indexed="64"/>
      </left>
      <right style="thin">
        <color theme="0"/>
      </right>
      <top/>
      <bottom/>
      <diagonal/>
    </border>
    <border>
      <left style="thin">
        <color indexed="64"/>
      </left>
      <right style="thin">
        <color theme="0"/>
      </right>
      <top style="thin">
        <color indexed="64"/>
      </top>
      <bottom/>
      <diagonal/>
    </border>
    <border>
      <left style="thin">
        <color theme="0"/>
      </left>
      <right/>
      <top/>
      <bottom/>
      <diagonal/>
    </border>
    <border>
      <left/>
      <right style="dashed">
        <color indexed="64"/>
      </right>
      <top style="thin">
        <color indexed="64"/>
      </top>
      <bottom/>
      <diagonal/>
    </border>
    <border>
      <left style="dashed">
        <color indexed="64"/>
      </left>
      <right/>
      <top style="dashed">
        <color indexed="64"/>
      </top>
      <bottom/>
      <diagonal/>
    </border>
    <border>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6"/>
    <xf numFmtId="0" fontId="60" fillId="0" borderId="6"/>
    <xf numFmtId="9" fontId="64" fillId="0" borderId="0" applyFont="0" applyFill="0" applyBorder="0" applyAlignment="0" applyProtection="0"/>
    <xf numFmtId="0" fontId="66" fillId="0" borderId="6"/>
  </cellStyleXfs>
  <cellXfs count="646">
    <xf numFmtId="0" fontId="0" fillId="0" borderId="0" xfId="0"/>
    <xf numFmtId="0" fontId="2" fillId="0" borderId="0" xfId="0" applyFont="1"/>
    <xf numFmtId="0" fontId="11" fillId="0" borderId="0" xfId="0" applyFont="1"/>
    <xf numFmtId="5" fontId="11" fillId="0" borderId="0" xfId="0" applyNumberFormat="1" applyFont="1"/>
    <xf numFmtId="165" fontId="5" fillId="0" borderId="6" xfId="0" applyNumberFormat="1" applyFont="1" applyBorder="1" applyAlignment="1">
      <alignment horizontal="right"/>
    </xf>
    <xf numFmtId="0" fontId="6" fillId="0" borderId="0" xfId="0" applyFont="1"/>
    <xf numFmtId="0" fontId="7" fillId="7" borderId="0" xfId="0" applyFont="1" applyFill="1"/>
    <xf numFmtId="0" fontId="8" fillId="7" borderId="0" xfId="0" applyFont="1" applyFill="1" applyAlignment="1">
      <alignment vertical="center"/>
    </xf>
    <xf numFmtId="0" fontId="6" fillId="0" borderId="0" xfId="0" applyFont="1" applyAlignment="1">
      <alignment vertical="center"/>
    </xf>
    <xf numFmtId="0" fontId="16" fillId="0" borderId="0" xfId="0" applyFont="1" applyAlignment="1">
      <alignment vertical="center"/>
    </xf>
    <xf numFmtId="0" fontId="6" fillId="0" borderId="0" xfId="0" applyFont="1" applyAlignment="1">
      <alignment horizontal="center"/>
    </xf>
    <xf numFmtId="0" fontId="7" fillId="7" borderId="0" xfId="0" applyFont="1" applyFill="1" applyAlignment="1">
      <alignment vertical="center"/>
    </xf>
    <xf numFmtId="0" fontId="8" fillId="0" borderId="0" xfId="0" applyFont="1" applyAlignment="1">
      <alignment vertical="center"/>
    </xf>
    <xf numFmtId="0" fontId="7" fillId="0" borderId="0" xfId="0" applyFont="1"/>
    <xf numFmtId="0" fontId="7" fillId="0" borderId="0" xfId="0" applyFont="1" applyAlignment="1">
      <alignment vertical="center"/>
    </xf>
    <xf numFmtId="0" fontId="15" fillId="0" borderId="0" xfId="0" applyFont="1" applyAlignment="1">
      <alignment vertical="center"/>
    </xf>
    <xf numFmtId="0" fontId="19" fillId="0" borderId="0" xfId="0" applyFont="1"/>
    <xf numFmtId="0" fontId="7" fillId="7" borderId="0" xfId="0" applyFont="1" applyFill="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20" fillId="0" borderId="0" xfId="0" applyFont="1" applyAlignment="1">
      <alignment horizontal="center" vertical="center"/>
    </xf>
    <xf numFmtId="0" fontId="6" fillId="0" borderId="6" xfId="1" applyFont="1"/>
    <xf numFmtId="0" fontId="21" fillId="0" borderId="6" xfId="1" applyFont="1" applyAlignment="1">
      <alignment horizontal="right"/>
    </xf>
    <xf numFmtId="171" fontId="19" fillId="0" borderId="6" xfId="1" applyNumberFormat="1" applyFont="1"/>
    <xf numFmtId="172" fontId="19" fillId="0" borderId="6" xfId="1" applyNumberFormat="1" applyFont="1"/>
    <xf numFmtId="172" fontId="6" fillId="0" borderId="6" xfId="1" applyNumberFormat="1" applyFont="1"/>
    <xf numFmtId="172" fontId="19" fillId="0" borderId="6" xfId="1" applyNumberFormat="1" applyFont="1" applyAlignment="1">
      <alignment horizontal="right"/>
    </xf>
    <xf numFmtId="0" fontId="6" fillId="0" borderId="6" xfId="1" applyFont="1" applyAlignment="1">
      <alignment horizontal="left"/>
    </xf>
    <xf numFmtId="173" fontId="15" fillId="0" borderId="6" xfId="1" applyNumberFormat="1" applyFont="1" applyAlignment="1">
      <alignment horizontal="right"/>
    </xf>
    <xf numFmtId="172" fontId="15" fillId="0" borderId="6" xfId="1" applyNumberFormat="1" applyFont="1" applyAlignment="1">
      <alignment horizontal="right"/>
    </xf>
    <xf numFmtId="0" fontId="15" fillId="0" borderId="6" xfId="1" applyFont="1" applyAlignment="1">
      <alignment horizontal="left"/>
    </xf>
    <xf numFmtId="174" fontId="19" fillId="0" borderId="6" xfId="1" applyNumberFormat="1" applyFont="1"/>
    <xf numFmtId="175" fontId="19" fillId="0" borderId="6" xfId="1" applyNumberFormat="1" applyFont="1"/>
    <xf numFmtId="173" fontId="22" fillId="0" borderId="6" xfId="1" applyNumberFormat="1" applyFont="1" applyAlignment="1">
      <alignment horizontal="center"/>
    </xf>
    <xf numFmtId="173" fontId="19" fillId="0" borderId="6" xfId="1" applyNumberFormat="1" applyFont="1" applyAlignment="1">
      <alignment horizontal="right"/>
    </xf>
    <xf numFmtId="0" fontId="23" fillId="0" borderId="6" xfId="1" applyFont="1"/>
    <xf numFmtId="0" fontId="22" fillId="0" borderId="6" xfId="1" applyFont="1" applyAlignment="1">
      <alignment horizontal="centerContinuous"/>
    </xf>
    <xf numFmtId="177" fontId="6" fillId="0" borderId="6" xfId="1" applyNumberFormat="1" applyFont="1"/>
    <xf numFmtId="0" fontId="24" fillId="0" borderId="0" xfId="0" applyFont="1"/>
    <xf numFmtId="0" fontId="4" fillId="0" borderId="6" xfId="0" applyFont="1" applyBorder="1" applyAlignment="1">
      <alignment horizontal="centerContinuous"/>
    </xf>
    <xf numFmtId="0" fontId="3" fillId="0" borderId="6" xfId="0" applyFont="1" applyBorder="1" applyAlignment="1">
      <alignment horizontal="centerContinuous"/>
    </xf>
    <xf numFmtId="0" fontId="25" fillId="0" borderId="22" xfId="0" applyFont="1" applyBorder="1" applyAlignment="1">
      <alignment vertical="center"/>
    </xf>
    <xf numFmtId="0" fontId="6" fillId="0" borderId="22" xfId="0" applyFont="1" applyBorder="1"/>
    <xf numFmtId="0" fontId="6" fillId="0" borderId="22" xfId="0" applyFont="1" applyBorder="1" applyAlignment="1">
      <alignment horizontal="center" vertical="center"/>
    </xf>
    <xf numFmtId="0" fontId="6" fillId="0" borderId="22" xfId="0" applyFont="1" applyBorder="1" applyAlignment="1">
      <alignment vertical="center"/>
    </xf>
    <xf numFmtId="0" fontId="6" fillId="0" borderId="6" xfId="0" applyFont="1" applyBorder="1" applyAlignment="1">
      <alignment vertical="center"/>
    </xf>
    <xf numFmtId="0" fontId="6" fillId="0" borderId="6" xfId="0" applyFont="1" applyBorder="1"/>
    <xf numFmtId="0" fontId="24" fillId="0" borderId="6" xfId="0" applyFont="1" applyBorder="1"/>
    <xf numFmtId="0" fontId="24" fillId="0" borderId="6" xfId="1" applyFont="1"/>
    <xf numFmtId="0" fontId="5" fillId="0" borderId="6" xfId="0" applyFont="1" applyBorder="1"/>
    <xf numFmtId="0" fontId="24" fillId="0" borderId="6" xfId="1" applyFont="1" applyAlignment="1">
      <alignment horizontal="right"/>
    </xf>
    <xf numFmtId="172" fontId="18" fillId="0" borderId="6" xfId="1" applyNumberFormat="1" applyFont="1"/>
    <xf numFmtId="177" fontId="18" fillId="0" borderId="6" xfId="1" applyNumberFormat="1" applyFont="1"/>
    <xf numFmtId="0" fontId="26" fillId="0" borderId="0" xfId="0" applyFont="1"/>
    <xf numFmtId="0" fontId="27" fillId="0" borderId="0" xfId="0" applyFont="1"/>
    <xf numFmtId="0" fontId="6" fillId="0" borderId="6" xfId="1" applyFont="1" applyAlignment="1">
      <alignment horizontal="left" vertical="center"/>
    </xf>
    <xf numFmtId="176" fontId="6" fillId="0" borderId="6" xfId="1" applyNumberFormat="1" applyFont="1" applyAlignment="1">
      <alignment vertical="center"/>
    </xf>
    <xf numFmtId="176" fontId="19" fillId="0" borderId="20" xfId="1" applyNumberFormat="1" applyFont="1" applyBorder="1" applyAlignment="1">
      <alignment vertical="center"/>
    </xf>
    <xf numFmtId="172" fontId="6" fillId="0" borderId="6" xfId="1" applyNumberFormat="1" applyFont="1" applyAlignment="1">
      <alignment vertical="center"/>
    </xf>
    <xf numFmtId="172" fontId="19" fillId="0" borderId="20" xfId="1" applyNumberFormat="1" applyFont="1" applyBorder="1" applyAlignment="1">
      <alignment vertical="center"/>
    </xf>
    <xf numFmtId="176" fontId="15" fillId="10" borderId="21" xfId="1" applyNumberFormat="1" applyFont="1" applyFill="1" applyBorder="1" applyAlignment="1">
      <alignment vertical="center"/>
    </xf>
    <xf numFmtId="176" fontId="15" fillId="9" borderId="21" xfId="1" applyNumberFormat="1" applyFont="1" applyFill="1" applyBorder="1" applyAlignment="1">
      <alignment vertical="center"/>
    </xf>
    <xf numFmtId="0" fontId="15" fillId="0" borderId="6" xfId="1" applyFont="1" applyAlignment="1">
      <alignment horizontal="left" vertical="center"/>
    </xf>
    <xf numFmtId="172" fontId="19" fillId="0" borderId="6" xfId="1" applyNumberFormat="1" applyFont="1" applyAlignment="1">
      <alignment vertical="center"/>
    </xf>
    <xf numFmtId="0" fontId="9" fillId="0" borderId="6" xfId="1" applyFont="1" applyAlignment="1">
      <alignment horizontal="left" vertical="center"/>
    </xf>
    <xf numFmtId="0" fontId="9" fillId="0" borderId="6" xfId="1" applyFont="1" applyAlignment="1">
      <alignment horizontal="left"/>
    </xf>
    <xf numFmtId="0" fontId="8" fillId="0" borderId="6" xfId="0" applyFont="1" applyBorder="1" applyAlignment="1">
      <alignment horizontal="centerContinuous"/>
    </xf>
    <xf numFmtId="0" fontId="19" fillId="0" borderId="6" xfId="0" applyFont="1" applyBorder="1" applyAlignment="1">
      <alignment horizontal="centerContinuous"/>
    </xf>
    <xf numFmtId="0" fontId="20" fillId="0" borderId="6" xfId="1" applyFont="1"/>
    <xf numFmtId="0" fontId="29" fillId="0" borderId="6" xfId="0" applyFont="1" applyBorder="1"/>
    <xf numFmtId="172" fontId="30" fillId="0" borderId="6" xfId="0" applyNumberFormat="1" applyFont="1" applyBorder="1"/>
    <xf numFmtId="176" fontId="19" fillId="0" borderId="6" xfId="0" applyNumberFormat="1" applyFont="1" applyBorder="1" applyAlignment="1">
      <alignment vertical="center"/>
    </xf>
    <xf numFmtId="172" fontId="19" fillId="0" borderId="6" xfId="0" applyNumberFormat="1" applyFont="1" applyBorder="1" applyAlignment="1">
      <alignment vertical="center"/>
    </xf>
    <xf numFmtId="176" fontId="15" fillId="6" borderId="23" xfId="0" applyNumberFormat="1" applyFont="1" applyFill="1" applyBorder="1" applyAlignment="1">
      <alignment vertical="center"/>
    </xf>
    <xf numFmtId="176" fontId="15" fillId="11" borderId="23" xfId="0" applyNumberFormat="1" applyFont="1" applyFill="1" applyBorder="1" applyAlignment="1">
      <alignment vertical="center"/>
    </xf>
    <xf numFmtId="172" fontId="15" fillId="0" borderId="6" xfId="0" applyNumberFormat="1" applyFont="1" applyBorder="1" applyAlignment="1">
      <alignment vertical="center"/>
    </xf>
    <xf numFmtId="172" fontId="15" fillId="0" borderId="6" xfId="0" applyNumberFormat="1" applyFont="1" applyBorder="1" applyAlignment="1">
      <alignment horizontal="right" vertical="center"/>
    </xf>
    <xf numFmtId="172" fontId="19" fillId="0" borderId="6" xfId="0" applyNumberFormat="1" applyFont="1" applyBorder="1" applyAlignment="1">
      <alignment horizontal="right" vertical="center"/>
    </xf>
    <xf numFmtId="0" fontId="6" fillId="0" borderId="6" xfId="1" applyFont="1" applyAlignment="1">
      <alignment horizontal="left" vertical="center" indent="1"/>
    </xf>
    <xf numFmtId="172" fontId="6" fillId="0" borderId="6" xfId="1" applyNumberFormat="1" applyFont="1" applyAlignment="1">
      <alignment horizontal="right" vertical="center"/>
    </xf>
    <xf numFmtId="172" fontId="9" fillId="0" borderId="6" xfId="1" applyNumberFormat="1" applyFont="1" applyAlignment="1">
      <alignment horizontal="right" vertical="center"/>
    </xf>
    <xf numFmtId="176" fontId="6" fillId="0" borderId="6" xfId="1" applyNumberFormat="1" applyFont="1" applyAlignment="1">
      <alignment horizontal="right" vertical="center"/>
    </xf>
    <xf numFmtId="0" fontId="33" fillId="0" borderId="13" xfId="1" applyFont="1" applyBorder="1" applyAlignment="1">
      <alignment horizontal="left" vertical="center"/>
    </xf>
    <xf numFmtId="0" fontId="15" fillId="0" borderId="14" xfId="1" applyFont="1" applyBorder="1" applyAlignment="1">
      <alignment horizontal="left"/>
    </xf>
    <xf numFmtId="172" fontId="6" fillId="0" borderId="14" xfId="1" applyNumberFormat="1" applyFont="1" applyBorder="1" applyAlignment="1">
      <alignment horizontal="right" vertical="center"/>
    </xf>
    <xf numFmtId="172" fontId="6" fillId="0" borderId="15" xfId="1" applyNumberFormat="1" applyFont="1" applyBorder="1" applyAlignment="1">
      <alignment horizontal="right" vertical="center"/>
    </xf>
    <xf numFmtId="0" fontId="6" fillId="0" borderId="16" xfId="1" applyFont="1" applyBorder="1" applyAlignment="1">
      <alignment horizontal="left" vertical="center"/>
    </xf>
    <xf numFmtId="172" fontId="6" fillId="0" borderId="17" xfId="1" applyNumberFormat="1" applyFont="1" applyBorder="1" applyAlignment="1">
      <alignment horizontal="right" vertical="center"/>
    </xf>
    <xf numFmtId="0" fontId="6" fillId="0" borderId="18" xfId="1" applyFont="1" applyBorder="1" applyAlignment="1">
      <alignment horizontal="left" vertical="center"/>
    </xf>
    <xf numFmtId="0" fontId="6" fillId="0" borderId="11" xfId="1" applyFont="1" applyBorder="1" applyAlignment="1">
      <alignment horizontal="left"/>
    </xf>
    <xf numFmtId="172" fontId="6" fillId="0" borderId="11" xfId="1" applyNumberFormat="1" applyFont="1" applyBorder="1" applyAlignment="1">
      <alignment horizontal="right" vertical="center"/>
    </xf>
    <xf numFmtId="172" fontId="6" fillId="0" borderId="19" xfId="1" applyNumberFormat="1" applyFont="1" applyBorder="1" applyAlignment="1">
      <alignment horizontal="right" vertical="center"/>
    </xf>
    <xf numFmtId="176" fontId="9" fillId="0" borderId="6" xfId="1" applyNumberFormat="1" applyFont="1" applyAlignment="1">
      <alignment vertical="center"/>
    </xf>
    <xf numFmtId="176" fontId="15" fillId="0" borderId="6" xfId="1" applyNumberFormat="1" applyFont="1" applyAlignment="1">
      <alignment vertical="center"/>
    </xf>
    <xf numFmtId="0" fontId="8" fillId="12" borderId="6" xfId="0" applyFont="1" applyFill="1" applyBorder="1" applyAlignment="1">
      <alignment horizontal="centerContinuous"/>
    </xf>
    <xf numFmtId="0" fontId="6" fillId="7" borderId="6" xfId="1" applyFont="1" applyFill="1"/>
    <xf numFmtId="0" fontId="19" fillId="12" borderId="6" xfId="0" applyFont="1" applyFill="1" applyBorder="1" applyAlignment="1">
      <alignment horizontal="centerContinuous"/>
    </xf>
    <xf numFmtId="0" fontId="34" fillId="0" borderId="6" xfId="1" applyFont="1"/>
    <xf numFmtId="176" fontId="9" fillId="0" borderId="6" xfId="1" applyNumberFormat="1" applyFont="1" applyAlignment="1">
      <alignment horizontal="right" vertical="center"/>
    </xf>
    <xf numFmtId="179" fontId="6" fillId="0" borderId="6" xfId="1" applyNumberFormat="1" applyFont="1"/>
    <xf numFmtId="178" fontId="6" fillId="0" borderId="6" xfId="1" applyNumberFormat="1" applyFont="1"/>
    <xf numFmtId="0" fontId="24" fillId="10" borderId="6" xfId="1" applyFont="1" applyFill="1" applyAlignment="1">
      <alignment vertical="center"/>
    </xf>
    <xf numFmtId="172" fontId="24" fillId="10" borderId="6" xfId="1" applyNumberFormat="1" applyFont="1" applyFill="1" applyAlignment="1">
      <alignment horizontal="right" vertical="center"/>
    </xf>
    <xf numFmtId="178" fontId="24" fillId="10" borderId="6" xfId="1" applyNumberFormat="1" applyFont="1" applyFill="1" applyAlignment="1">
      <alignment horizontal="right" vertical="center"/>
    </xf>
    <xf numFmtId="0" fontId="28" fillId="10" borderId="24" xfId="1" applyFont="1" applyFill="1" applyBorder="1" applyAlignment="1">
      <alignment vertical="center"/>
    </xf>
    <xf numFmtId="0" fontId="6" fillId="10" borderId="25" xfId="1" applyFont="1" applyFill="1" applyBorder="1" applyAlignment="1">
      <alignment vertical="center"/>
    </xf>
    <xf numFmtId="0" fontId="6" fillId="10" borderId="26" xfId="1" applyFont="1" applyFill="1" applyBorder="1" applyAlignment="1">
      <alignment vertical="center"/>
    </xf>
    <xf numFmtId="0" fontId="24" fillId="10" borderId="27" xfId="0" applyFont="1" applyFill="1" applyBorder="1" applyAlignment="1">
      <alignment vertical="center"/>
    </xf>
    <xf numFmtId="178" fontId="24" fillId="10" borderId="28" xfId="1" applyNumberFormat="1" applyFont="1" applyFill="1" applyBorder="1" applyAlignment="1">
      <alignment horizontal="right" vertical="center"/>
    </xf>
    <xf numFmtId="0" fontId="24" fillId="10" borderId="29" xfId="0" applyFont="1" applyFill="1" applyBorder="1" applyAlignment="1">
      <alignment vertical="center"/>
    </xf>
    <xf numFmtId="0" fontId="24" fillId="10" borderId="30" xfId="1" applyFont="1" applyFill="1" applyBorder="1" applyAlignment="1">
      <alignment vertical="center"/>
    </xf>
    <xf numFmtId="178" fontId="24" fillId="10" borderId="30" xfId="1" applyNumberFormat="1" applyFont="1" applyFill="1" applyBorder="1" applyAlignment="1">
      <alignment horizontal="right" vertical="center"/>
    </xf>
    <xf numFmtId="178" fontId="24" fillId="10" borderId="31" xfId="1" applyNumberFormat="1" applyFont="1" applyFill="1" applyBorder="1" applyAlignment="1">
      <alignment horizontal="right" vertical="center"/>
    </xf>
    <xf numFmtId="172" fontId="24" fillId="10" borderId="28" xfId="1" applyNumberFormat="1" applyFont="1" applyFill="1" applyBorder="1" applyAlignment="1">
      <alignment horizontal="right" vertical="center"/>
    </xf>
    <xf numFmtId="0" fontId="24" fillId="10" borderId="27" xfId="0" applyFont="1" applyFill="1" applyBorder="1" applyAlignment="1">
      <alignment horizontal="left" vertical="center" indent="1"/>
    </xf>
    <xf numFmtId="0" fontId="24" fillId="0" borderId="6" xfId="1" applyFont="1" applyAlignment="1">
      <alignment vertical="center"/>
    </xf>
    <xf numFmtId="178" fontId="24" fillId="0" borderId="6" xfId="1" applyNumberFormat="1" applyFont="1" applyAlignment="1">
      <alignment horizontal="right" vertical="center"/>
    </xf>
    <xf numFmtId="0" fontId="24" fillId="0" borderId="6" xfId="0" applyFont="1" applyBorder="1" applyAlignment="1">
      <alignment vertical="center"/>
    </xf>
    <xf numFmtId="0" fontId="15" fillId="0" borderId="6" xfId="0" applyFont="1" applyBorder="1" applyAlignment="1">
      <alignment horizontal="center" vertical="center" wrapText="1"/>
    </xf>
    <xf numFmtId="0" fontId="8" fillId="7" borderId="6" xfId="0" applyFont="1" applyFill="1" applyBorder="1" applyAlignment="1">
      <alignment horizontal="centerContinuous" vertical="center"/>
    </xf>
    <xf numFmtId="0" fontId="22" fillId="0" borderId="6" xfId="0" applyFont="1" applyBorder="1" applyAlignment="1">
      <alignment vertical="center"/>
    </xf>
    <xf numFmtId="0" fontId="22" fillId="0" borderId="6" xfId="0" applyFont="1" applyBorder="1" applyAlignment="1">
      <alignment horizontal="center" vertical="center"/>
    </xf>
    <xf numFmtId="0" fontId="22" fillId="0" borderId="6" xfId="0" applyFont="1" applyBorder="1" applyAlignment="1">
      <alignment horizontal="center" vertical="center" wrapText="1"/>
    </xf>
    <xf numFmtId="0" fontId="22" fillId="0" borderId="6" xfId="0" applyFont="1" applyBorder="1" applyAlignment="1">
      <alignment horizontal="centerContinuous" vertical="center"/>
    </xf>
    <xf numFmtId="0" fontId="6" fillId="2" borderId="6" xfId="0" applyFont="1" applyFill="1" applyBorder="1" applyAlignment="1">
      <alignment vertical="center"/>
    </xf>
    <xf numFmtId="0" fontId="19" fillId="0" borderId="6" xfId="0" applyFont="1" applyBorder="1" applyAlignment="1">
      <alignment vertical="center" wrapText="1"/>
    </xf>
    <xf numFmtId="0" fontId="6" fillId="0" borderId="6" xfId="0" applyFont="1" applyBorder="1" applyAlignment="1">
      <alignment vertical="center" wrapText="1"/>
    </xf>
    <xf numFmtId="0" fontId="6" fillId="0" borderId="0" xfId="0" quotePrefix="1" applyFont="1" applyAlignment="1">
      <alignment vertical="center"/>
    </xf>
    <xf numFmtId="0" fontId="6" fillId="0" borderId="0" xfId="0" applyFont="1" applyAlignment="1">
      <alignment horizontal="centerContinuous" vertical="center"/>
    </xf>
    <xf numFmtId="0" fontId="6" fillId="2" borderId="6" xfId="0" applyFont="1" applyFill="1" applyBorder="1" applyAlignment="1">
      <alignment horizontal="centerContinuous" vertical="center"/>
    </xf>
    <xf numFmtId="0" fontId="9" fillId="9" borderId="23" xfId="0" applyFont="1" applyFill="1" applyBorder="1" applyAlignment="1">
      <alignment vertical="center"/>
    </xf>
    <xf numFmtId="0" fontId="9" fillId="10" borderId="12" xfId="0" applyFont="1" applyFill="1" applyBorder="1" applyAlignment="1">
      <alignment vertical="center"/>
    </xf>
    <xf numFmtId="0" fontId="9" fillId="10" borderId="23" xfId="0" applyFont="1" applyFill="1" applyBorder="1" applyAlignment="1">
      <alignment vertical="center"/>
    </xf>
    <xf numFmtId="0" fontId="9" fillId="14" borderId="12" xfId="0" applyFont="1" applyFill="1" applyBorder="1" applyAlignment="1">
      <alignment vertical="center"/>
    </xf>
    <xf numFmtId="0" fontId="6" fillId="0" borderId="6" xfId="0" applyFont="1" applyBorder="1" applyAlignment="1">
      <alignment horizontal="center" vertical="center"/>
    </xf>
    <xf numFmtId="0" fontId="37" fillId="0" borderId="6" xfId="0" applyFont="1" applyBorder="1" applyAlignment="1">
      <alignment horizontal="center" vertical="center"/>
    </xf>
    <xf numFmtId="0" fontId="9" fillId="4" borderId="13" xfId="0" applyFont="1" applyFill="1" applyBorder="1" applyAlignment="1">
      <alignment horizontal="center" vertical="center"/>
    </xf>
    <xf numFmtId="0" fontId="9" fillId="4" borderId="18" xfId="0" applyFont="1" applyFill="1" applyBorder="1" applyAlignment="1">
      <alignment horizontal="center" vertical="center"/>
    </xf>
    <xf numFmtId="0" fontId="17" fillId="0" borderId="0" xfId="0" applyFont="1" applyAlignment="1">
      <alignment vertical="center"/>
    </xf>
    <xf numFmtId="181" fontId="15" fillId="10" borderId="6" xfId="0" applyNumberFormat="1" applyFont="1" applyFill="1" applyBorder="1" applyAlignment="1">
      <alignment horizontal="center" vertical="center"/>
    </xf>
    <xf numFmtId="0" fontId="15" fillId="10" borderId="6" xfId="0" applyFont="1" applyFill="1" applyBorder="1" applyAlignment="1">
      <alignment horizontal="center" vertical="center"/>
    </xf>
    <xf numFmtId="181" fontId="10" fillId="10" borderId="6" xfId="0" applyNumberFormat="1" applyFont="1" applyFill="1" applyBorder="1" applyAlignment="1">
      <alignment horizontal="center" vertical="center"/>
    </xf>
    <xf numFmtId="0" fontId="39" fillId="10" borderId="6" xfId="0" applyFont="1" applyFill="1" applyBorder="1" applyAlignment="1">
      <alignment horizontal="center" vertical="center"/>
    </xf>
    <xf numFmtId="0" fontId="40" fillId="10" borderId="6" xfId="0" applyFont="1" applyFill="1" applyBorder="1" applyAlignment="1">
      <alignment horizontal="center" vertical="center"/>
    </xf>
    <xf numFmtId="167" fontId="35" fillId="0" borderId="6" xfId="0" applyNumberFormat="1" applyFont="1" applyBorder="1" applyAlignment="1">
      <alignment horizontal="center" vertical="center"/>
    </xf>
    <xf numFmtId="172" fontId="9" fillId="10" borderId="23" xfId="0" applyNumberFormat="1" applyFont="1" applyFill="1" applyBorder="1" applyAlignment="1">
      <alignment vertical="center"/>
    </xf>
    <xf numFmtId="172" fontId="42" fillId="10" borderId="23" xfId="0" applyNumberFormat="1" applyFont="1" applyFill="1" applyBorder="1" applyAlignment="1">
      <alignment vertical="center"/>
    </xf>
    <xf numFmtId="9" fontId="6" fillId="0" borderId="0" xfId="0" applyNumberFormat="1" applyFont="1" applyAlignment="1">
      <alignment vertical="center"/>
    </xf>
    <xf numFmtId="0" fontId="6" fillId="0" borderId="6" xfId="0" applyFont="1" applyBorder="1" applyAlignment="1">
      <alignment horizontal="left" vertical="center"/>
    </xf>
    <xf numFmtId="5" fontId="6" fillId="0" borderId="6" xfId="0" applyNumberFormat="1" applyFont="1" applyBorder="1" applyAlignment="1">
      <alignment vertical="center"/>
    </xf>
    <xf numFmtId="9" fontId="6" fillId="0" borderId="6" xfId="0" applyNumberFormat="1" applyFont="1" applyBorder="1" applyAlignment="1">
      <alignment horizontal="center" vertical="center"/>
    </xf>
    <xf numFmtId="0" fontId="24" fillId="0" borderId="6" xfId="0" applyFont="1" applyBorder="1" applyAlignment="1">
      <alignment horizontal="left" vertical="center"/>
    </xf>
    <xf numFmtId="0" fontId="9" fillId="0" borderId="6" xfId="0" applyFont="1" applyBorder="1" applyAlignment="1">
      <alignment vertical="center"/>
    </xf>
    <xf numFmtId="5" fontId="9" fillId="0" borderId="6" xfId="0" applyNumberFormat="1" applyFont="1" applyBorder="1" applyAlignment="1">
      <alignment vertical="center"/>
    </xf>
    <xf numFmtId="9" fontId="9" fillId="0" borderId="6" xfId="0" applyNumberFormat="1" applyFont="1" applyBorder="1" applyAlignment="1">
      <alignment horizontal="center" vertical="center"/>
    </xf>
    <xf numFmtId="0" fontId="9" fillId="10" borderId="23" xfId="0" applyFont="1" applyFill="1" applyBorder="1" applyAlignment="1">
      <alignment horizontal="left" vertical="center"/>
    </xf>
    <xf numFmtId="0" fontId="9" fillId="0" borderId="6" xfId="0" applyFont="1" applyBorder="1" applyAlignment="1">
      <alignment horizontal="left" vertical="center"/>
    </xf>
    <xf numFmtId="0" fontId="9" fillId="9" borderId="23" xfId="0" applyFont="1" applyFill="1" applyBorder="1" applyAlignment="1">
      <alignment horizontal="left" vertical="center"/>
    </xf>
    <xf numFmtId="0" fontId="8" fillId="12" borderId="6" xfId="0" applyFont="1" applyFill="1" applyBorder="1" applyAlignment="1">
      <alignment horizontal="centerContinuous" vertical="center"/>
    </xf>
    <xf numFmtId="0" fontId="19" fillId="7" borderId="6" xfId="0" applyFont="1" applyFill="1" applyBorder="1" applyAlignment="1">
      <alignment horizontal="centerContinuous" vertical="center"/>
    </xf>
    <xf numFmtId="5" fontId="12" fillId="0" borderId="6" xfId="0" applyNumberFormat="1" applyFont="1" applyBorder="1"/>
    <xf numFmtId="168" fontId="41" fillId="0" borderId="0" xfId="0" applyNumberFormat="1" applyFont="1"/>
    <xf numFmtId="0" fontId="41" fillId="0" borderId="0" xfId="0" applyFont="1"/>
    <xf numFmtId="0" fontId="9" fillId="0" borderId="0" xfId="0" applyFont="1"/>
    <xf numFmtId="0" fontId="8" fillId="15" borderId="33" xfId="0" applyFont="1" applyFill="1" applyBorder="1" applyAlignment="1">
      <alignment horizontal="center" vertical="center"/>
    </xf>
    <xf numFmtId="0" fontId="8" fillId="7" borderId="35" xfId="0" applyFont="1" applyFill="1" applyBorder="1" applyAlignment="1">
      <alignment horizontal="center" vertical="center"/>
    </xf>
    <xf numFmtId="0" fontId="8" fillId="7" borderId="35" xfId="0" applyFont="1" applyFill="1" applyBorder="1" applyAlignment="1">
      <alignment horizontal="centerContinuous" vertical="center"/>
    </xf>
    <xf numFmtId="0" fontId="24" fillId="0" borderId="6" xfId="0" applyFont="1" applyBorder="1" applyAlignment="1">
      <alignment horizontal="left" vertical="center" indent="1"/>
    </xf>
    <xf numFmtId="0" fontId="6" fillId="0" borderId="6" xfId="0" applyFont="1" applyBorder="1" applyAlignment="1">
      <alignment horizontal="left" vertical="center" indent="1"/>
    </xf>
    <xf numFmtId="180" fontId="18" fillId="0" borderId="6" xfId="0" applyNumberFormat="1" applyFont="1" applyBorder="1" applyAlignment="1">
      <alignment horizontal="center"/>
    </xf>
    <xf numFmtId="0" fontId="44" fillId="0" borderId="0" xfId="0" applyFont="1" applyAlignment="1">
      <alignment vertical="center"/>
    </xf>
    <xf numFmtId="0" fontId="19" fillId="0" borderId="0" xfId="0" applyFont="1" applyAlignment="1">
      <alignment vertical="center"/>
    </xf>
    <xf numFmtId="172" fontId="6" fillId="0" borderId="6" xfId="0" applyNumberFormat="1" applyFont="1" applyBorder="1" applyAlignment="1">
      <alignment horizontal="center" vertical="center"/>
    </xf>
    <xf numFmtId="172" fontId="18" fillId="0" borderId="6" xfId="0" applyNumberFormat="1" applyFont="1" applyBorder="1" applyAlignment="1">
      <alignment horizontal="center" vertical="center"/>
    </xf>
    <xf numFmtId="0" fontId="38" fillId="8" borderId="14" xfId="0" applyFont="1" applyFill="1" applyBorder="1" applyAlignment="1">
      <alignment horizontal="center" vertical="center"/>
    </xf>
    <xf numFmtId="0" fontId="38" fillId="8" borderId="6" xfId="0" applyFont="1" applyFill="1" applyBorder="1" applyAlignment="1">
      <alignment horizontal="center" vertical="center"/>
    </xf>
    <xf numFmtId="0" fontId="47" fillId="0" borderId="6" xfId="1" applyFont="1"/>
    <xf numFmtId="172" fontId="38" fillId="8" borderId="6" xfId="0" applyNumberFormat="1" applyFont="1" applyFill="1" applyBorder="1" applyAlignment="1">
      <alignment horizontal="center" vertical="center"/>
    </xf>
    <xf numFmtId="183" fontId="38" fillId="8" borderId="6" xfId="0" applyNumberFormat="1" applyFont="1" applyFill="1" applyBorder="1" applyAlignment="1">
      <alignment horizontal="center" vertical="center"/>
    </xf>
    <xf numFmtId="0" fontId="38" fillId="5" borderId="6" xfId="0" applyFont="1" applyFill="1" applyBorder="1" applyAlignment="1">
      <alignment horizontal="center" vertical="center"/>
    </xf>
    <xf numFmtId="0" fontId="46" fillId="8" borderId="11" xfId="0" applyFont="1" applyFill="1" applyBorder="1" applyAlignment="1">
      <alignment horizontal="center" vertical="center"/>
    </xf>
    <xf numFmtId="183" fontId="38" fillId="8" borderId="14" xfId="0" applyNumberFormat="1" applyFont="1" applyFill="1" applyBorder="1" applyAlignment="1">
      <alignment horizontal="center" vertical="center"/>
    </xf>
    <xf numFmtId="183" fontId="38" fillId="5" borderId="6" xfId="0" applyNumberFormat="1" applyFont="1" applyFill="1" applyBorder="1" applyAlignment="1">
      <alignment horizontal="center" vertical="center"/>
    </xf>
    <xf numFmtId="183" fontId="38" fillId="8" borderId="11" xfId="0" applyNumberFormat="1" applyFont="1" applyFill="1" applyBorder="1" applyAlignment="1">
      <alignment horizontal="center" vertical="center"/>
    </xf>
    <xf numFmtId="172" fontId="38" fillId="8" borderId="15" xfId="0" applyNumberFormat="1" applyFont="1" applyFill="1" applyBorder="1" applyAlignment="1">
      <alignment horizontal="center" vertical="center"/>
    </xf>
    <xf numFmtId="172" fontId="38" fillId="8" borderId="17" xfId="0" applyNumberFormat="1" applyFont="1" applyFill="1" applyBorder="1" applyAlignment="1">
      <alignment horizontal="center" vertical="center"/>
    </xf>
    <xf numFmtId="172" fontId="38" fillId="8" borderId="19" xfId="0" applyNumberFormat="1" applyFont="1" applyFill="1" applyBorder="1" applyAlignment="1">
      <alignment horizontal="center" vertical="center"/>
    </xf>
    <xf numFmtId="172" fontId="38" fillId="8" borderId="14" xfId="0" applyNumberFormat="1" applyFont="1" applyFill="1" applyBorder="1" applyAlignment="1">
      <alignment horizontal="center" vertical="center"/>
    </xf>
    <xf numFmtId="172" fontId="38" fillId="8" borderId="11" xfId="0" applyNumberFormat="1" applyFont="1" applyFill="1" applyBorder="1" applyAlignment="1">
      <alignment horizontal="center" vertical="center"/>
    </xf>
    <xf numFmtId="184" fontId="9" fillId="4" borderId="15" xfId="0" applyNumberFormat="1" applyFont="1" applyFill="1" applyBorder="1" applyAlignment="1">
      <alignment horizontal="right" vertical="center"/>
    </xf>
    <xf numFmtId="184" fontId="9" fillId="4" borderId="19" xfId="0" applyNumberFormat="1" applyFont="1" applyFill="1" applyBorder="1" applyAlignment="1">
      <alignment horizontal="right" vertical="center"/>
    </xf>
    <xf numFmtId="172" fontId="6" fillId="2" borderId="11" xfId="0" applyNumberFormat="1" applyFont="1" applyFill="1" applyBorder="1" applyAlignment="1">
      <alignment horizontal="center" vertical="center"/>
    </xf>
    <xf numFmtId="177" fontId="6" fillId="2" borderId="11" xfId="0" applyNumberFormat="1" applyFont="1" applyFill="1" applyBorder="1" applyAlignment="1">
      <alignment horizontal="center" vertical="center"/>
    </xf>
    <xf numFmtId="0" fontId="25" fillId="0" borderId="6" xfId="0" applyFont="1" applyBorder="1" applyAlignment="1">
      <alignment vertical="center"/>
    </xf>
    <xf numFmtId="184" fontId="6" fillId="0" borderId="0" xfId="0" applyNumberFormat="1" applyFont="1" applyAlignment="1">
      <alignment horizontal="right" vertical="center"/>
    </xf>
    <xf numFmtId="184" fontId="15" fillId="14" borderId="10" xfId="0" applyNumberFormat="1" applyFont="1" applyFill="1" applyBorder="1" applyAlignment="1">
      <alignment vertical="center"/>
    </xf>
    <xf numFmtId="184" fontId="6" fillId="0" borderId="0" xfId="0" applyNumberFormat="1" applyFont="1" applyAlignment="1">
      <alignment vertical="center"/>
    </xf>
    <xf numFmtId="184" fontId="9" fillId="13" borderId="10" xfId="0" applyNumberFormat="1" applyFont="1" applyFill="1" applyBorder="1" applyAlignment="1">
      <alignment vertical="center"/>
    </xf>
    <xf numFmtId="0" fontId="10" fillId="17" borderId="36" xfId="0" applyFont="1" applyFill="1" applyBorder="1" applyAlignment="1">
      <alignment horizontal="center" vertical="center"/>
    </xf>
    <xf numFmtId="0" fontId="36" fillId="0" borderId="6" xfId="0" applyFont="1" applyBorder="1" applyAlignment="1">
      <alignment horizontal="left" vertical="center"/>
    </xf>
    <xf numFmtId="0" fontId="19" fillId="0" borderId="6" xfId="0" applyFont="1" applyBorder="1" applyAlignment="1">
      <alignment horizontal="center" vertical="center" wrapText="1"/>
    </xf>
    <xf numFmtId="0" fontId="8" fillId="0" borderId="6" xfId="0" applyFont="1" applyBorder="1" applyAlignment="1">
      <alignment horizontal="centerContinuous" vertical="center"/>
    </xf>
    <xf numFmtId="0" fontId="20" fillId="0" borderId="0" xfId="0" applyFont="1"/>
    <xf numFmtId="0" fontId="48" fillId="2" borderId="6" xfId="0" applyFont="1" applyFill="1" applyBorder="1" applyAlignment="1">
      <alignment vertical="center"/>
    </xf>
    <xf numFmtId="0" fontId="20" fillId="0" borderId="6" xfId="0" applyFont="1" applyBorder="1"/>
    <xf numFmtId="0" fontId="43" fillId="0" borderId="0" xfId="0" applyFont="1" applyAlignment="1">
      <alignment horizontal="centerContinuous"/>
    </xf>
    <xf numFmtId="0" fontId="18" fillId="0" borderId="13" xfId="0" applyFont="1" applyBorder="1" applyAlignment="1">
      <alignment horizontal="centerContinuous"/>
    </xf>
    <xf numFmtId="0" fontId="6" fillId="0" borderId="14" xfId="0" applyFont="1" applyBorder="1" applyAlignment="1">
      <alignment horizontal="centerContinuous"/>
    </xf>
    <xf numFmtId="0" fontId="6" fillId="0" borderId="15" xfId="0" applyFont="1" applyBorder="1" applyAlignment="1">
      <alignment horizontal="centerContinuous"/>
    </xf>
    <xf numFmtId="0" fontId="38" fillId="0" borderId="16" xfId="0" applyFont="1" applyBorder="1" applyAlignment="1">
      <alignment horizontal="centerContinuous"/>
    </xf>
    <xf numFmtId="0" fontId="6" fillId="0" borderId="6" xfId="0" applyFont="1" applyBorder="1" applyAlignment="1">
      <alignment horizontal="centerContinuous"/>
    </xf>
    <xf numFmtId="0" fontId="6" fillId="0" borderId="17" xfId="0" applyFont="1" applyBorder="1" applyAlignment="1">
      <alignment horizontal="centerContinuous"/>
    </xf>
    <xf numFmtId="0" fontId="6" fillId="0" borderId="16" xfId="0" applyFont="1" applyBorder="1" applyAlignment="1">
      <alignment horizontal="centerContinuous"/>
    </xf>
    <xf numFmtId="0" fontId="17" fillId="0" borderId="18" xfId="0" applyFont="1" applyBorder="1" applyAlignment="1">
      <alignment horizontal="centerContinuous"/>
    </xf>
    <xf numFmtId="0" fontId="6" fillId="0" borderId="11" xfId="0" applyFont="1" applyBorder="1" applyAlignment="1">
      <alignment horizontal="centerContinuous"/>
    </xf>
    <xf numFmtId="0" fontId="6" fillId="0" borderId="19" xfId="0" applyFont="1" applyBorder="1" applyAlignment="1">
      <alignment horizontal="centerContinuous"/>
    </xf>
    <xf numFmtId="0" fontId="37" fillId="0" borderId="0" xfId="0" applyFont="1" applyAlignment="1">
      <alignment horizontal="centerContinuous"/>
    </xf>
    <xf numFmtId="0" fontId="19" fillId="0" borderId="6" xfId="1" applyFont="1"/>
    <xf numFmtId="189" fontId="6" fillId="0" borderId="6" xfId="0" applyNumberFormat="1" applyFont="1" applyBorder="1" applyAlignment="1">
      <alignment horizontal="center" vertical="center"/>
    </xf>
    <xf numFmtId="189" fontId="19" fillId="0" borderId="6" xfId="0" applyNumberFormat="1" applyFont="1" applyBorder="1" applyAlignment="1">
      <alignment horizontal="center" vertical="center"/>
    </xf>
    <xf numFmtId="189" fontId="6" fillId="9" borderId="23" xfId="0" applyNumberFormat="1" applyFont="1" applyFill="1" applyBorder="1" applyAlignment="1">
      <alignment horizontal="center" vertical="center"/>
    </xf>
    <xf numFmtId="177" fontId="6" fillId="9" borderId="10" xfId="0" applyNumberFormat="1" applyFont="1" applyFill="1" applyBorder="1" applyAlignment="1">
      <alignment horizontal="center" vertical="center"/>
    </xf>
    <xf numFmtId="177" fontId="6" fillId="9" borderId="12" xfId="0" applyNumberFormat="1" applyFont="1" applyFill="1" applyBorder="1" applyAlignment="1">
      <alignment horizontal="center" vertical="center"/>
    </xf>
    <xf numFmtId="190" fontId="15" fillId="10" borderId="6" xfId="0" applyNumberFormat="1" applyFont="1" applyFill="1" applyBorder="1" applyAlignment="1">
      <alignment horizontal="center" vertical="center"/>
    </xf>
    <xf numFmtId="0" fontId="50" fillId="18" borderId="0" xfId="0" applyFont="1" applyFill="1" applyAlignment="1">
      <alignment horizontal="centerContinuous"/>
    </xf>
    <xf numFmtId="0" fontId="51" fillId="18" borderId="0" xfId="0" applyFont="1" applyFill="1" applyAlignment="1">
      <alignment horizontal="centerContinuous"/>
    </xf>
    <xf numFmtId="0" fontId="52" fillId="18" borderId="0" xfId="0" applyFont="1" applyFill="1"/>
    <xf numFmtId="0" fontId="52" fillId="18" borderId="0" xfId="0" applyFont="1" applyFill="1" applyAlignment="1">
      <alignment vertical="center"/>
    </xf>
    <xf numFmtId="0" fontId="52" fillId="18" borderId="0" xfId="0" applyFont="1" applyFill="1" applyAlignment="1">
      <alignment horizontal="center"/>
    </xf>
    <xf numFmtId="0" fontId="53" fillId="18" borderId="0" xfId="0" applyFont="1" applyFill="1"/>
    <xf numFmtId="172" fontId="6" fillId="9" borderId="12" xfId="0" applyNumberFormat="1" applyFont="1" applyFill="1" applyBorder="1" applyAlignment="1">
      <alignment horizontal="center" vertical="center"/>
    </xf>
    <xf numFmtId="187" fontId="6" fillId="9" borderId="12" xfId="0" applyNumberFormat="1" applyFont="1" applyFill="1" applyBorder="1" applyAlignment="1">
      <alignment horizontal="center" vertical="center"/>
    </xf>
    <xf numFmtId="0" fontId="50" fillId="0" borderId="0" xfId="0" applyFont="1" applyAlignment="1">
      <alignment horizontal="centerContinuous" vertical="center"/>
    </xf>
    <xf numFmtId="0" fontId="43" fillId="0" borderId="0" xfId="0" applyFont="1" applyAlignment="1">
      <alignment horizontal="centerContinuous" vertical="center"/>
    </xf>
    <xf numFmtId="0" fontId="37" fillId="0" borderId="0" xfId="0" applyFont="1" applyAlignment="1">
      <alignment horizontal="centerContinuous" vertical="center"/>
    </xf>
    <xf numFmtId="0" fontId="37" fillId="0" borderId="0" xfId="0" applyFont="1" applyAlignment="1">
      <alignment horizontal="center"/>
    </xf>
    <xf numFmtId="0" fontId="9" fillId="0" borderId="0" xfId="0" applyFont="1" applyAlignment="1">
      <alignment vertical="center"/>
    </xf>
    <xf numFmtId="0" fontId="9" fillId="19" borderId="0" xfId="0" applyFont="1" applyFill="1" applyAlignment="1">
      <alignment horizontal="left"/>
    </xf>
    <xf numFmtId="0" fontId="6" fillId="20" borderId="0" xfId="0" applyFont="1" applyFill="1" applyAlignment="1">
      <alignment horizontal="left"/>
    </xf>
    <xf numFmtId="191" fontId="6" fillId="20" borderId="0" xfId="0" applyNumberFormat="1" applyFont="1" applyFill="1" applyAlignment="1">
      <alignment horizontal="right"/>
    </xf>
    <xf numFmtId="192" fontId="6" fillId="20" borderId="0" xfId="0" applyNumberFormat="1" applyFont="1" applyFill="1" applyAlignment="1">
      <alignment horizontal="right"/>
    </xf>
    <xf numFmtId="0" fontId="6" fillId="0" borderId="0" xfId="0" applyFont="1" applyAlignment="1">
      <alignment horizontal="left"/>
    </xf>
    <xf numFmtId="191" fontId="6" fillId="0" borderId="0" xfId="0" applyNumberFormat="1" applyFont="1" applyAlignment="1">
      <alignment horizontal="right"/>
    </xf>
    <xf numFmtId="192" fontId="6" fillId="0" borderId="0" xfId="0" applyNumberFormat="1" applyFont="1" applyAlignment="1">
      <alignment horizontal="right"/>
    </xf>
    <xf numFmtId="192" fontId="54" fillId="20" borderId="0" xfId="0" applyNumberFormat="1" applyFont="1" applyFill="1" applyAlignment="1">
      <alignment horizontal="right"/>
    </xf>
    <xf numFmtId="183" fontId="6" fillId="0" borderId="0" xfId="0" applyNumberFormat="1" applyFont="1" applyAlignment="1">
      <alignment horizontal="center" vertical="center"/>
    </xf>
    <xf numFmtId="10" fontId="17" fillId="0" borderId="0" xfId="0" applyNumberFormat="1" applyFont="1" applyAlignment="1">
      <alignment horizontal="center" vertical="center"/>
    </xf>
    <xf numFmtId="172" fontId="6" fillId="0" borderId="0" xfId="0" applyNumberFormat="1" applyFont="1" applyAlignment="1">
      <alignment horizontal="center" vertical="center"/>
    </xf>
    <xf numFmtId="172" fontId="6" fillId="0" borderId="0" xfId="0" applyNumberFormat="1" applyFont="1" applyAlignment="1">
      <alignment horizontal="center"/>
    </xf>
    <xf numFmtId="178" fontId="6" fillId="2" borderId="11" xfId="0" applyNumberFormat="1" applyFont="1" applyFill="1" applyBorder="1" applyAlignment="1">
      <alignment horizontal="center" vertical="center"/>
    </xf>
    <xf numFmtId="178" fontId="6" fillId="2" borderId="6" xfId="0" applyNumberFormat="1" applyFont="1" applyFill="1" applyBorder="1" applyAlignment="1">
      <alignment horizontal="center" vertical="center"/>
    </xf>
    <xf numFmtId="0" fontId="19" fillId="0" borderId="6" xfId="0" applyFont="1" applyBorder="1" applyAlignment="1">
      <alignment horizontal="left" vertical="center"/>
    </xf>
    <xf numFmtId="186" fontId="6" fillId="0" borderId="6" xfId="0" applyNumberFormat="1" applyFont="1" applyBorder="1" applyAlignment="1">
      <alignment horizontal="center" vertical="center"/>
    </xf>
    <xf numFmtId="0" fontId="6" fillId="0" borderId="11" xfId="0" applyFont="1" applyBorder="1" applyAlignment="1">
      <alignment horizontal="center" vertical="center"/>
    </xf>
    <xf numFmtId="186" fontId="6" fillId="0" borderId="11" xfId="0" applyNumberFormat="1" applyFont="1" applyBorder="1" applyAlignment="1">
      <alignment horizontal="center" vertical="center"/>
    </xf>
    <xf numFmtId="178" fontId="38" fillId="8" borderId="14" xfId="0" applyNumberFormat="1" applyFont="1" applyFill="1" applyBorder="1" applyAlignment="1">
      <alignment horizontal="center" vertical="center"/>
    </xf>
    <xf numFmtId="178" fontId="38" fillId="8" borderId="6" xfId="0" applyNumberFormat="1" applyFont="1" applyFill="1" applyBorder="1" applyAlignment="1">
      <alignment horizontal="center" vertical="center"/>
    </xf>
    <xf numFmtId="178" fontId="38" fillId="5" borderId="6" xfId="0" applyNumberFormat="1" applyFont="1" applyFill="1" applyBorder="1" applyAlignment="1">
      <alignment horizontal="center" vertical="center"/>
    </xf>
    <xf numFmtId="178" fontId="38" fillId="8" borderId="11" xfId="0" applyNumberFormat="1" applyFont="1" applyFill="1" applyBorder="1" applyAlignment="1">
      <alignment horizontal="center" vertical="center"/>
    </xf>
    <xf numFmtId="0" fontId="38" fillId="8" borderId="13" xfId="0" applyFont="1" applyFill="1" applyBorder="1" applyAlignment="1">
      <alignment horizontal="left" vertical="center"/>
    </xf>
    <xf numFmtId="0" fontId="38" fillId="8" borderId="16" xfId="0" applyFont="1" applyFill="1" applyBorder="1" applyAlignment="1">
      <alignment horizontal="left" vertical="center"/>
    </xf>
    <xf numFmtId="0" fontId="38" fillId="8" borderId="18" xfId="0" applyFont="1" applyFill="1" applyBorder="1" applyAlignment="1">
      <alignment horizontal="left" vertical="center"/>
    </xf>
    <xf numFmtId="0" fontId="19" fillId="0" borderId="11" xfId="0" applyFont="1" applyBorder="1" applyAlignment="1">
      <alignment horizontal="left" vertical="center"/>
    </xf>
    <xf numFmtId="0" fontId="25" fillId="18" borderId="0" xfId="0" applyFont="1" applyFill="1"/>
    <xf numFmtId="0" fontId="56" fillId="18" borderId="0" xfId="0" applyFont="1" applyFill="1"/>
    <xf numFmtId="187" fontId="6" fillId="9" borderId="32" xfId="0" applyNumberFormat="1" applyFont="1" applyFill="1" applyBorder="1" applyAlignment="1">
      <alignment horizontal="center" vertical="center"/>
    </xf>
    <xf numFmtId="187" fontId="18" fillId="8" borderId="32" xfId="0" applyNumberFormat="1" applyFont="1" applyFill="1" applyBorder="1" applyAlignment="1">
      <alignment horizontal="center" vertical="center"/>
    </xf>
    <xf numFmtId="189" fontId="6" fillId="9" borderId="32" xfId="0" applyNumberFormat="1" applyFont="1" applyFill="1" applyBorder="1" applyAlignment="1">
      <alignment horizontal="center" vertical="center"/>
    </xf>
    <xf numFmtId="189" fontId="19" fillId="8" borderId="32" xfId="0" applyNumberFormat="1" applyFont="1" applyFill="1" applyBorder="1" applyAlignment="1">
      <alignment horizontal="center" vertical="center"/>
    </xf>
    <xf numFmtId="189" fontId="6" fillId="9" borderId="10" xfId="0" applyNumberFormat="1" applyFont="1" applyFill="1" applyBorder="1" applyAlignment="1">
      <alignment horizontal="center" vertical="center"/>
    </xf>
    <xf numFmtId="187" fontId="6" fillId="0" borderId="0" xfId="0" applyNumberFormat="1" applyFont="1"/>
    <xf numFmtId="187" fontId="6" fillId="9" borderId="23" xfId="0" applyNumberFormat="1" applyFont="1" applyFill="1" applyBorder="1" applyAlignment="1">
      <alignment horizontal="center" vertical="center"/>
    </xf>
    <xf numFmtId="187" fontId="6" fillId="9" borderId="10" xfId="0" applyNumberFormat="1" applyFont="1" applyFill="1" applyBorder="1" applyAlignment="1">
      <alignment horizontal="center" vertical="center"/>
    </xf>
    <xf numFmtId="189" fontId="18" fillId="8" borderId="32" xfId="0" applyNumberFormat="1" applyFont="1" applyFill="1" applyBorder="1" applyAlignment="1">
      <alignment horizontal="center" vertical="center"/>
    </xf>
    <xf numFmtId="189" fontId="6" fillId="9" borderId="12" xfId="0" applyNumberFormat="1" applyFont="1" applyFill="1" applyBorder="1" applyAlignment="1">
      <alignment horizontal="center" vertical="center"/>
    </xf>
    <xf numFmtId="172" fontId="6" fillId="9" borderId="10" xfId="0" applyNumberFormat="1" applyFont="1" applyFill="1" applyBorder="1" applyAlignment="1">
      <alignment horizontal="center" vertical="center"/>
    </xf>
    <xf numFmtId="177" fontId="38" fillId="8" borderId="32" xfId="0" applyNumberFormat="1" applyFont="1" applyFill="1" applyBorder="1" applyAlignment="1">
      <alignment vertical="center"/>
    </xf>
    <xf numFmtId="185" fontId="18" fillId="8" borderId="37" xfId="0" applyNumberFormat="1" applyFont="1" applyFill="1" applyBorder="1" applyAlignment="1">
      <alignment horizontal="center" vertical="center"/>
    </xf>
    <xf numFmtId="0" fontId="3" fillId="12" borderId="6" xfId="0" applyFont="1" applyFill="1" applyBorder="1" applyAlignment="1">
      <alignment horizontal="centerContinuous"/>
    </xf>
    <xf numFmtId="0" fontId="9" fillId="10" borderId="23" xfId="1" applyFont="1" applyFill="1" applyBorder="1" applyAlignment="1">
      <alignment horizontal="left" vertical="center"/>
    </xf>
    <xf numFmtId="176" fontId="9" fillId="10" borderId="23" xfId="1" applyNumberFormat="1" applyFont="1" applyFill="1" applyBorder="1" applyAlignment="1">
      <alignment vertical="center"/>
    </xf>
    <xf numFmtId="176" fontId="6" fillId="10" borderId="23" xfId="1" applyNumberFormat="1" applyFont="1" applyFill="1" applyBorder="1" applyAlignment="1">
      <alignment vertical="center"/>
    </xf>
    <xf numFmtId="0" fontId="9" fillId="9" borderId="23" xfId="1" applyFont="1" applyFill="1" applyBorder="1" applyAlignment="1">
      <alignment horizontal="left" vertical="center"/>
    </xf>
    <xf numFmtId="176" fontId="9" fillId="9" borderId="23" xfId="1" applyNumberFormat="1" applyFont="1" applyFill="1" applyBorder="1" applyAlignment="1">
      <alignment vertical="center"/>
    </xf>
    <xf numFmtId="0" fontId="9" fillId="10" borderId="23" xfId="1" applyFont="1" applyFill="1" applyBorder="1" applyAlignment="1">
      <alignment horizontal="left"/>
    </xf>
    <xf numFmtId="0" fontId="9" fillId="9" borderId="23" xfId="1" applyFont="1" applyFill="1" applyBorder="1" applyAlignment="1">
      <alignment horizontal="left"/>
    </xf>
    <xf numFmtId="176" fontId="9" fillId="10" borderId="23" xfId="1" applyNumberFormat="1" applyFont="1" applyFill="1" applyBorder="1" applyAlignment="1">
      <alignment horizontal="right" vertical="center"/>
    </xf>
    <xf numFmtId="176" fontId="9" fillId="9" borderId="23" xfId="1" applyNumberFormat="1" applyFont="1" applyFill="1" applyBorder="1" applyAlignment="1">
      <alignment horizontal="right" vertical="center"/>
    </xf>
    <xf numFmtId="0" fontId="19" fillId="0" borderId="6" xfId="0" applyFont="1" applyBorder="1" applyAlignment="1">
      <alignment horizontal="center" vertical="center"/>
    </xf>
    <xf numFmtId="186" fontId="19" fillId="0" borderId="6" xfId="0" applyNumberFormat="1" applyFont="1" applyBorder="1" applyAlignment="1">
      <alignment horizontal="center" vertical="center"/>
    </xf>
    <xf numFmtId="172" fontId="6" fillId="2" borderId="6" xfId="0" applyNumberFormat="1" applyFont="1" applyFill="1" applyBorder="1" applyAlignment="1">
      <alignment horizontal="center" vertical="center"/>
    </xf>
    <xf numFmtId="177" fontId="6" fillId="2" borderId="6" xfId="0" applyNumberFormat="1" applyFont="1" applyFill="1" applyBorder="1" applyAlignment="1">
      <alignment horizontal="center" vertical="center"/>
    </xf>
    <xf numFmtId="0" fontId="6" fillId="2" borderId="6" xfId="0" applyFont="1" applyFill="1" applyBorder="1" applyAlignment="1">
      <alignment horizontal="center" vertical="center"/>
    </xf>
    <xf numFmtId="0" fontId="17" fillId="2" borderId="6" xfId="0" applyFont="1" applyFill="1" applyBorder="1" applyAlignment="1">
      <alignment vertical="center"/>
    </xf>
    <xf numFmtId="184" fontId="38" fillId="8" borderId="37" xfId="0" applyNumberFormat="1" applyFont="1" applyFill="1" applyBorder="1" applyAlignment="1">
      <alignment vertical="center"/>
    </xf>
    <xf numFmtId="0" fontId="9" fillId="2" borderId="6" xfId="0" applyFont="1" applyFill="1" applyBorder="1" applyAlignment="1">
      <alignment vertical="center"/>
    </xf>
    <xf numFmtId="0" fontId="49" fillId="2" borderId="6" xfId="0" applyFont="1" applyFill="1" applyBorder="1" applyAlignment="1">
      <alignment horizontal="center" vertical="center"/>
    </xf>
    <xf numFmtId="0" fontId="9" fillId="2" borderId="6" xfId="0" applyFont="1" applyFill="1" applyBorder="1" applyAlignment="1">
      <alignment horizontal="center" vertical="center"/>
    </xf>
    <xf numFmtId="10" fontId="9" fillId="2" borderId="6" xfId="0" applyNumberFormat="1" applyFont="1" applyFill="1" applyBorder="1" applyAlignment="1">
      <alignment vertical="center"/>
    </xf>
    <xf numFmtId="2" fontId="18" fillId="2" borderId="6" xfId="0" applyNumberFormat="1" applyFont="1" applyFill="1" applyBorder="1" applyAlignment="1">
      <alignment horizontal="right" vertical="center"/>
    </xf>
    <xf numFmtId="10" fontId="18" fillId="2" borderId="6" xfId="0" applyNumberFormat="1" applyFont="1" applyFill="1" applyBorder="1" applyAlignment="1">
      <alignment horizontal="right" vertical="center"/>
    </xf>
    <xf numFmtId="44" fontId="18" fillId="2" borderId="6" xfId="0" applyNumberFormat="1" applyFont="1" applyFill="1" applyBorder="1" applyAlignment="1">
      <alignment horizontal="right" vertical="center"/>
    </xf>
    <xf numFmtId="164" fontId="6" fillId="2" borderId="6" xfId="0" applyNumberFormat="1" applyFont="1" applyFill="1" applyBorder="1" applyAlignment="1">
      <alignment horizontal="center" vertical="center"/>
    </xf>
    <xf numFmtId="185" fontId="6" fillId="11" borderId="37" xfId="0" applyNumberFormat="1" applyFont="1" applyFill="1" applyBorder="1" applyAlignment="1">
      <alignment horizontal="center" vertical="center"/>
    </xf>
    <xf numFmtId="185" fontId="6" fillId="11" borderId="38" xfId="0" applyNumberFormat="1" applyFont="1" applyFill="1" applyBorder="1" applyAlignment="1">
      <alignment horizontal="center" vertical="center"/>
    </xf>
    <xf numFmtId="0" fontId="6" fillId="2" borderId="0" xfId="0" applyFont="1" applyFill="1" applyAlignment="1">
      <alignment horizontal="centerContinuous" vertical="center"/>
    </xf>
    <xf numFmtId="0" fontId="22" fillId="0" borderId="0" xfId="0" applyFont="1" applyAlignment="1">
      <alignment horizontal="centerContinuous" vertical="center"/>
    </xf>
    <xf numFmtId="0" fontId="19" fillId="0" borderId="6" xfId="0" applyFont="1" applyBorder="1" applyAlignment="1">
      <alignment horizontal="centerContinuous" vertical="center"/>
    </xf>
    <xf numFmtId="1" fontId="57" fillId="10" borderId="23" xfId="0" applyNumberFormat="1" applyFont="1" applyFill="1" applyBorder="1" applyAlignment="1">
      <alignment vertical="center"/>
    </xf>
    <xf numFmtId="164" fontId="58" fillId="10" borderId="0" xfId="0" applyNumberFormat="1" applyFont="1" applyFill="1" applyAlignment="1">
      <alignment vertical="center"/>
    </xf>
    <xf numFmtId="164" fontId="6" fillId="10" borderId="0" xfId="0" applyNumberFormat="1" applyFont="1" applyFill="1" applyAlignment="1">
      <alignment vertical="center"/>
    </xf>
    <xf numFmtId="0" fontId="9" fillId="10" borderId="23" xfId="0" applyFont="1" applyFill="1" applyBorder="1"/>
    <xf numFmtId="0" fontId="6" fillId="10" borderId="23" xfId="0" applyFont="1" applyFill="1" applyBorder="1" applyAlignment="1">
      <alignment vertical="center"/>
    </xf>
    <xf numFmtId="0" fontId="8" fillId="7" borderId="39" xfId="0" applyFont="1" applyFill="1" applyBorder="1" applyAlignment="1">
      <alignment horizontal="center" vertical="center"/>
    </xf>
    <xf numFmtId="5" fontId="41" fillId="0" borderId="40" xfId="0" applyNumberFormat="1" applyFont="1" applyBorder="1" applyAlignment="1">
      <alignment horizontal="center" vertical="center"/>
    </xf>
    <xf numFmtId="0" fontId="6" fillId="0" borderId="40" xfId="0" applyFont="1" applyBorder="1" applyAlignment="1">
      <alignment horizontal="center" vertical="center"/>
    </xf>
    <xf numFmtId="5" fontId="45" fillId="10" borderId="41" xfId="0" applyNumberFormat="1" applyFont="1" applyFill="1" applyBorder="1" applyAlignment="1">
      <alignment horizontal="center" vertical="center"/>
    </xf>
    <xf numFmtId="172" fontId="41" fillId="10" borderId="23" xfId="0" applyNumberFormat="1" applyFont="1" applyFill="1" applyBorder="1" applyAlignment="1">
      <alignment horizontal="right" vertical="center"/>
    </xf>
    <xf numFmtId="177" fontId="41" fillId="0" borderId="0" xfId="0" applyNumberFormat="1" applyFont="1" applyAlignment="1">
      <alignment horizontal="right" vertical="center"/>
    </xf>
    <xf numFmtId="39" fontId="41" fillId="0" borderId="0" xfId="0" applyNumberFormat="1" applyFont="1" applyAlignment="1">
      <alignment horizontal="right" vertical="center"/>
    </xf>
    <xf numFmtId="178" fontId="38" fillId="0" borderId="0" xfId="0" applyNumberFormat="1" applyFont="1" applyAlignment="1">
      <alignment horizontal="right" vertical="center"/>
    </xf>
    <xf numFmtId="165" fontId="6" fillId="0" borderId="6" xfId="0" applyNumberFormat="1" applyFont="1" applyBorder="1" applyAlignment="1">
      <alignment horizontal="right" vertical="center"/>
    </xf>
    <xf numFmtId="0" fontId="8" fillId="12" borderId="13" xfId="0" applyFont="1" applyFill="1" applyBorder="1" applyAlignment="1">
      <alignment horizontal="centerContinuous" vertical="center"/>
    </xf>
    <xf numFmtId="0" fontId="8" fillId="12" borderId="14" xfId="0" applyFont="1" applyFill="1" applyBorder="1" applyAlignment="1">
      <alignment horizontal="centerContinuous" vertical="center"/>
    </xf>
    <xf numFmtId="0" fontId="8" fillId="12" borderId="15" xfId="0" applyFont="1" applyFill="1" applyBorder="1" applyAlignment="1">
      <alignment horizontal="centerContinuous" vertical="center"/>
    </xf>
    <xf numFmtId="0" fontId="6" fillId="0" borderId="16" xfId="0" applyFont="1" applyBorder="1" applyAlignment="1">
      <alignment horizontal="left" vertical="center"/>
    </xf>
    <xf numFmtId="182" fontId="6" fillId="0" borderId="17" xfId="0" applyNumberFormat="1" applyFont="1" applyBorder="1" applyAlignment="1">
      <alignment horizontal="right" vertical="center"/>
    </xf>
    <xf numFmtId="0" fontId="6" fillId="0" borderId="17" xfId="0" applyFont="1" applyBorder="1" applyAlignment="1">
      <alignment horizontal="right" vertical="center"/>
    </xf>
    <xf numFmtId="166" fontId="6" fillId="0" borderId="17" xfId="0" applyNumberFormat="1" applyFont="1" applyBorder="1" applyAlignment="1">
      <alignment horizontal="right" vertical="center"/>
    </xf>
    <xf numFmtId="170" fontId="6" fillId="0" borderId="17" xfId="0" applyNumberFormat="1" applyFont="1" applyBorder="1" applyAlignment="1">
      <alignment horizontal="right" vertical="center"/>
    </xf>
    <xf numFmtId="169" fontId="6" fillId="0" borderId="17" xfId="0" applyNumberFormat="1" applyFont="1" applyBorder="1" applyAlignment="1">
      <alignment horizontal="right" vertical="center"/>
    </xf>
    <xf numFmtId="176" fontId="6" fillId="0" borderId="17" xfId="0" applyNumberFormat="1" applyFont="1" applyBorder="1" applyAlignment="1">
      <alignment horizontal="right" vertical="center"/>
    </xf>
    <xf numFmtId="0" fontId="9" fillId="10" borderId="12" xfId="0" applyFont="1" applyFill="1" applyBorder="1" applyAlignment="1">
      <alignment horizontal="left" vertical="center"/>
    </xf>
    <xf numFmtId="176" fontId="45" fillId="10" borderId="10" xfId="0" applyNumberFormat="1" applyFont="1" applyFill="1" applyBorder="1" applyAlignment="1">
      <alignment horizontal="right" vertical="center"/>
    </xf>
    <xf numFmtId="172" fontId="41" fillId="0" borderId="17" xfId="0" applyNumberFormat="1" applyFont="1" applyBorder="1" applyAlignment="1">
      <alignment horizontal="right" vertical="center"/>
    </xf>
    <xf numFmtId="0" fontId="9" fillId="9" borderId="12" xfId="0" applyFont="1" applyFill="1" applyBorder="1" applyAlignment="1">
      <alignment horizontal="left" vertical="center"/>
    </xf>
    <xf numFmtId="184" fontId="8" fillId="15" borderId="33" xfId="0" applyNumberFormat="1" applyFont="1" applyFill="1" applyBorder="1" applyAlignment="1">
      <alignment horizontal="center" vertical="center"/>
    </xf>
    <xf numFmtId="184" fontId="8" fillId="15" borderId="34" xfId="0" applyNumberFormat="1" applyFont="1" applyFill="1" applyBorder="1" applyAlignment="1">
      <alignment horizontal="center" vertical="center"/>
    </xf>
    <xf numFmtId="178" fontId="8" fillId="15" borderId="42" xfId="0" applyNumberFormat="1" applyFont="1" applyFill="1" applyBorder="1" applyAlignment="1">
      <alignment horizontal="center" vertical="center"/>
    </xf>
    <xf numFmtId="3" fontId="6" fillId="0" borderId="0" xfId="0" applyNumberFormat="1" applyFont="1" applyAlignment="1">
      <alignment vertical="center"/>
    </xf>
    <xf numFmtId="8" fontId="6" fillId="0" borderId="0" xfId="0" applyNumberFormat="1" applyFont="1" applyAlignment="1">
      <alignment vertical="center"/>
    </xf>
    <xf numFmtId="0" fontId="59" fillId="0" borderId="0" xfId="0" applyFont="1" applyAlignment="1">
      <alignment vertical="center"/>
    </xf>
    <xf numFmtId="3" fontId="9" fillId="0" borderId="0" xfId="0" applyNumberFormat="1" applyFont="1" applyAlignment="1">
      <alignment vertical="center"/>
    </xf>
    <xf numFmtId="177" fontId="6" fillId="0" borderId="0" xfId="0" applyNumberFormat="1" applyFont="1"/>
    <xf numFmtId="177" fontId="24" fillId="0" borderId="0" xfId="0" applyNumberFormat="1" applyFont="1"/>
    <xf numFmtId="0" fontId="9" fillId="0" borderId="14" xfId="0" applyFont="1" applyBorder="1"/>
    <xf numFmtId="0" fontId="6" fillId="0" borderId="14" xfId="0" applyFont="1" applyBorder="1"/>
    <xf numFmtId="0" fontId="38" fillId="8" borderId="43" xfId="0" applyFont="1" applyFill="1" applyBorder="1" applyAlignment="1">
      <alignment horizontal="center" vertical="center"/>
    </xf>
    <xf numFmtId="189" fontId="38" fillId="8" borderId="43" xfId="0" applyNumberFormat="1" applyFont="1" applyFill="1" applyBorder="1" applyAlignment="1">
      <alignment horizontal="center" vertical="center"/>
    </xf>
    <xf numFmtId="0" fontId="24" fillId="0" borderId="0" xfId="0" quotePrefix="1" applyFont="1" applyAlignment="1">
      <alignment horizontal="left" indent="1"/>
    </xf>
    <xf numFmtId="0" fontId="0" fillId="0" borderId="0" xfId="0" applyAlignment="1">
      <alignment vertical="center"/>
    </xf>
    <xf numFmtId="187" fontId="45" fillId="0" borderId="14" xfId="0" applyNumberFormat="1" applyFont="1" applyBorder="1"/>
    <xf numFmtId="187" fontId="38" fillId="0" borderId="43" xfId="0" applyNumberFormat="1" applyFont="1" applyBorder="1"/>
    <xf numFmtId="194" fontId="6" fillId="0" borderId="0" xfId="0" applyNumberFormat="1" applyFont="1"/>
    <xf numFmtId="0" fontId="37" fillId="0" borderId="44" xfId="0" applyFont="1" applyBorder="1" applyAlignment="1">
      <alignment horizontal="centerContinuous"/>
    </xf>
    <xf numFmtId="0" fontId="9" fillId="0" borderId="6" xfId="0" applyFont="1" applyBorder="1"/>
    <xf numFmtId="187" fontId="45" fillId="0" borderId="6" xfId="0" applyNumberFormat="1" applyFont="1" applyBorder="1"/>
    <xf numFmtId="0" fontId="36" fillId="10" borderId="23" xfId="0" applyFont="1" applyFill="1" applyBorder="1"/>
    <xf numFmtId="0" fontId="24" fillId="10" borderId="23" xfId="0" applyFont="1" applyFill="1" applyBorder="1"/>
    <xf numFmtId="0" fontId="36" fillId="10" borderId="23" xfId="0" applyFont="1" applyFill="1" applyBorder="1" applyAlignment="1">
      <alignment vertical="center"/>
    </xf>
    <xf numFmtId="0" fontId="7" fillId="7" borderId="6" xfId="0" applyFont="1" applyFill="1" applyBorder="1" applyAlignment="1">
      <alignment horizontal="centerContinuous" vertical="center"/>
    </xf>
    <xf numFmtId="0" fontId="24" fillId="0" borderId="0" xfId="0" applyFont="1" applyAlignment="1">
      <alignment vertical="center"/>
    </xf>
    <xf numFmtId="172" fontId="6" fillId="0" borderId="6" xfId="0" applyNumberFormat="1" applyFont="1" applyBorder="1" applyAlignment="1">
      <alignment horizontal="right" vertical="center"/>
    </xf>
    <xf numFmtId="180" fontId="9" fillId="10" borderId="23" xfId="1" applyNumberFormat="1" applyFont="1" applyFill="1" applyBorder="1" applyAlignment="1">
      <alignment horizontal="right" vertical="center"/>
    </xf>
    <xf numFmtId="180" fontId="9" fillId="9" borderId="23" xfId="1" applyNumberFormat="1" applyFont="1" applyFill="1" applyBorder="1" applyAlignment="1">
      <alignment horizontal="right" vertical="center"/>
    </xf>
    <xf numFmtId="176" fontId="6" fillId="0" borderId="6"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10" borderId="23" xfId="0" applyNumberFormat="1" applyFont="1" applyFill="1" applyBorder="1" applyAlignment="1">
      <alignment horizontal="right" vertical="center"/>
    </xf>
    <xf numFmtId="176" fontId="9" fillId="9" borderId="23" xfId="0" applyNumberFormat="1" applyFont="1" applyFill="1" applyBorder="1" applyAlignment="1">
      <alignment horizontal="right" vertical="center"/>
    </xf>
    <xf numFmtId="172" fontId="24" fillId="0" borderId="6" xfId="0" applyNumberFormat="1" applyFont="1" applyBorder="1" applyAlignment="1">
      <alignment horizontal="right" vertical="center"/>
    </xf>
    <xf numFmtId="172" fontId="9" fillId="0" borderId="6" xfId="0" applyNumberFormat="1" applyFont="1" applyBorder="1" applyAlignment="1">
      <alignment horizontal="right" vertical="center"/>
    </xf>
    <xf numFmtId="189" fontId="55" fillId="8" borderId="32" xfId="0" applyNumberFormat="1" applyFont="1" applyFill="1" applyBorder="1" applyAlignment="1">
      <alignment horizontal="center" vertical="center"/>
    </xf>
    <xf numFmtId="193" fontId="41" fillId="8" borderId="32" xfId="0" applyNumberFormat="1" applyFont="1" applyFill="1" applyBorder="1" applyAlignment="1">
      <alignment horizontal="center" vertical="center"/>
    </xf>
    <xf numFmtId="0" fontId="8" fillId="7" borderId="42" xfId="0" applyFont="1" applyFill="1" applyBorder="1" applyAlignment="1">
      <alignment horizontal="centerContinuous" vertical="center"/>
    </xf>
    <xf numFmtId="0" fontId="8" fillId="15" borderId="6" xfId="0" applyFont="1" applyFill="1" applyBorder="1" applyAlignment="1">
      <alignment horizontal="center" vertical="center"/>
    </xf>
    <xf numFmtId="0" fontId="8" fillId="15" borderId="46" xfId="0" applyFont="1" applyFill="1" applyBorder="1" applyAlignment="1">
      <alignment horizontal="center" vertical="center"/>
    </xf>
    <xf numFmtId="0" fontId="8" fillId="15" borderId="17" xfId="0" applyFont="1" applyFill="1" applyBorder="1" applyAlignment="1">
      <alignment horizontal="center" vertical="center"/>
    </xf>
    <xf numFmtId="172" fontId="6" fillId="0" borderId="16" xfId="0" applyNumberFormat="1" applyFont="1" applyBorder="1" applyAlignment="1">
      <alignment horizontal="right" vertical="center"/>
    </xf>
    <xf numFmtId="172" fontId="6" fillId="0" borderId="17" xfId="0" applyNumberFormat="1" applyFont="1" applyBorder="1" applyAlignment="1">
      <alignment horizontal="right" vertical="center"/>
    </xf>
    <xf numFmtId="178" fontId="62" fillId="0" borderId="17" xfId="0" applyNumberFormat="1" applyFont="1" applyBorder="1" applyAlignment="1">
      <alignment horizontal="right" vertical="center"/>
    </xf>
    <xf numFmtId="172" fontId="9" fillId="0" borderId="17" xfId="0" applyNumberFormat="1" applyFont="1" applyBorder="1" applyAlignment="1">
      <alignment horizontal="right" vertical="center"/>
    </xf>
    <xf numFmtId="176" fontId="9" fillId="0" borderId="16" xfId="0" applyNumberFormat="1" applyFont="1" applyBorder="1" applyAlignment="1">
      <alignment horizontal="right" vertical="center"/>
    </xf>
    <xf numFmtId="176" fontId="9" fillId="0" borderId="17" xfId="0" applyNumberFormat="1" applyFont="1" applyBorder="1" applyAlignment="1">
      <alignment horizontal="right" vertical="center"/>
    </xf>
    <xf numFmtId="176" fontId="9" fillId="10" borderId="12" xfId="0" applyNumberFormat="1" applyFont="1" applyFill="1" applyBorder="1" applyAlignment="1">
      <alignment horizontal="right" vertical="center"/>
    </xf>
    <xf numFmtId="178" fontId="9" fillId="10" borderId="10" xfId="0" applyNumberFormat="1" applyFont="1" applyFill="1" applyBorder="1" applyAlignment="1">
      <alignment horizontal="right" vertical="center"/>
    </xf>
    <xf numFmtId="176" fontId="6" fillId="0" borderId="16" xfId="0" applyNumberFormat="1" applyFont="1" applyBorder="1" applyAlignment="1">
      <alignment horizontal="right" vertical="center"/>
    </xf>
    <xf numFmtId="172" fontId="9" fillId="0" borderId="16" xfId="0" applyNumberFormat="1" applyFont="1" applyBorder="1" applyAlignment="1">
      <alignment horizontal="right" vertical="center"/>
    </xf>
    <xf numFmtId="172" fontId="24" fillId="0" borderId="16" xfId="0" applyNumberFormat="1" applyFont="1" applyBorder="1" applyAlignment="1">
      <alignment horizontal="right" vertical="center"/>
    </xf>
    <xf numFmtId="176" fontId="9" fillId="9" borderId="12" xfId="0" applyNumberFormat="1" applyFont="1" applyFill="1" applyBorder="1" applyAlignment="1">
      <alignment horizontal="right" vertical="center"/>
    </xf>
    <xf numFmtId="178" fontId="9" fillId="9" borderId="10" xfId="0" applyNumberFormat="1" applyFont="1" applyFill="1" applyBorder="1" applyAlignment="1">
      <alignment horizontal="right" vertical="center"/>
    </xf>
    <xf numFmtId="172" fontId="24" fillId="0" borderId="18" xfId="0" applyNumberFormat="1" applyFont="1" applyBorder="1" applyAlignment="1">
      <alignment horizontal="right" vertical="center"/>
    </xf>
    <xf numFmtId="0" fontId="8" fillId="15" borderId="47" xfId="0" applyFont="1" applyFill="1" applyBorder="1" applyAlignment="1">
      <alignment horizontal="center" vertical="center"/>
    </xf>
    <xf numFmtId="0" fontId="8" fillId="15" borderId="15" xfId="0" applyFont="1" applyFill="1" applyBorder="1" applyAlignment="1">
      <alignment horizontal="center" vertical="center"/>
    </xf>
    <xf numFmtId="177" fontId="45" fillId="9" borderId="10" xfId="0" applyNumberFormat="1" applyFont="1" applyFill="1" applyBorder="1" applyAlignment="1">
      <alignment horizontal="right" vertical="center"/>
    </xf>
    <xf numFmtId="5" fontId="63" fillId="0" borderId="0" xfId="0" applyNumberFormat="1" applyFont="1" applyAlignment="1">
      <alignment horizontal="centerContinuous"/>
    </xf>
    <xf numFmtId="0" fontId="63" fillId="0" borderId="0" xfId="0" applyFont="1" applyAlignment="1">
      <alignment horizontal="centerContinuous"/>
    </xf>
    <xf numFmtId="0" fontId="37" fillId="2" borderId="6" xfId="0" applyFont="1" applyFill="1" applyBorder="1" applyAlignment="1">
      <alignment horizontal="centerContinuous" vertical="center"/>
    </xf>
    <xf numFmtId="0" fontId="43" fillId="2" borderId="6" xfId="0" applyFont="1" applyFill="1" applyBorder="1" applyAlignment="1">
      <alignment horizontal="centerContinuous" vertical="center"/>
    </xf>
    <xf numFmtId="0" fontId="37" fillId="0" borderId="0" xfId="0" applyFont="1" applyAlignment="1">
      <alignment horizontal="centerContinuous" vertical="top"/>
    </xf>
    <xf numFmtId="180" fontId="6" fillId="0" borderId="6" xfId="0" applyNumberFormat="1" applyFont="1" applyBorder="1" applyAlignment="1">
      <alignment horizontal="center" vertical="center"/>
    </xf>
    <xf numFmtId="180" fontId="6" fillId="0" borderId="4" xfId="0" applyNumberFormat="1" applyFont="1" applyBorder="1" applyAlignment="1">
      <alignment horizontal="center" vertical="center"/>
    </xf>
    <xf numFmtId="180" fontId="6" fillId="0" borderId="2" xfId="0" applyNumberFormat="1" applyFont="1" applyBorder="1" applyAlignment="1">
      <alignment horizontal="center" vertical="center"/>
    </xf>
    <xf numFmtId="180" fontId="9" fillId="10" borderId="8" xfId="0" applyNumberFormat="1" applyFont="1" applyFill="1" applyBorder="1" applyAlignment="1">
      <alignment horizontal="center" vertical="center"/>
    </xf>
    <xf numFmtId="180" fontId="9" fillId="10" borderId="9" xfId="0" applyNumberFormat="1" applyFont="1" applyFill="1" applyBorder="1" applyAlignment="1">
      <alignment horizontal="center" vertical="center"/>
    </xf>
    <xf numFmtId="180" fontId="9" fillId="10" borderId="7" xfId="0" applyNumberFormat="1" applyFont="1" applyFill="1" applyBorder="1" applyAlignment="1">
      <alignment horizontal="center" vertical="center"/>
    </xf>
    <xf numFmtId="180" fontId="9" fillId="10" borderId="1" xfId="0" applyNumberFormat="1" applyFont="1" applyFill="1" applyBorder="1" applyAlignment="1">
      <alignment horizontal="center" vertical="center"/>
    </xf>
    <xf numFmtId="180" fontId="9" fillId="10" borderId="6" xfId="0" applyNumberFormat="1" applyFont="1" applyFill="1" applyBorder="1" applyAlignment="1">
      <alignment horizontal="center" vertical="center"/>
    </xf>
    <xf numFmtId="180" fontId="9" fillId="10" borderId="2" xfId="0" applyNumberFormat="1" applyFont="1" applyFill="1" applyBorder="1" applyAlignment="1">
      <alignment horizontal="center" vertical="center"/>
    </xf>
    <xf numFmtId="180" fontId="9" fillId="10" borderId="3" xfId="0" applyNumberFormat="1" applyFont="1" applyFill="1" applyBorder="1" applyAlignment="1">
      <alignment horizontal="center" vertical="center"/>
    </xf>
    <xf numFmtId="180" fontId="9" fillId="10" borderId="4" xfId="0" applyNumberFormat="1" applyFont="1" applyFill="1" applyBorder="1" applyAlignment="1">
      <alignment horizontal="center" vertical="center"/>
    </xf>
    <xf numFmtId="180" fontId="9" fillId="10" borderId="5" xfId="0" applyNumberFormat="1" applyFont="1" applyFill="1" applyBorder="1" applyAlignment="1">
      <alignment horizontal="center" vertical="center"/>
    </xf>
    <xf numFmtId="180" fontId="6" fillId="0" borderId="5" xfId="0" applyNumberFormat="1" applyFont="1" applyBorder="1" applyAlignment="1">
      <alignment horizontal="center" vertical="center"/>
    </xf>
    <xf numFmtId="177" fontId="61" fillId="10" borderId="23" xfId="0" applyNumberFormat="1" applyFont="1" applyFill="1" applyBorder="1" applyAlignment="1">
      <alignment vertical="center"/>
    </xf>
    <xf numFmtId="177" fontId="41" fillId="8" borderId="43" xfId="0" applyNumberFormat="1" applyFont="1" applyFill="1" applyBorder="1" applyAlignment="1">
      <alignment horizontal="center" vertical="center"/>
    </xf>
    <xf numFmtId="0" fontId="0" fillId="0" borderId="6" xfId="0" applyBorder="1"/>
    <xf numFmtId="185" fontId="6" fillId="2" borderId="6" xfId="0" applyNumberFormat="1" applyFont="1" applyFill="1" applyBorder="1" applyAlignment="1">
      <alignment horizontal="center" vertical="center"/>
    </xf>
    <xf numFmtId="184" fontId="8" fillId="21" borderId="33" xfId="0" applyNumberFormat="1" applyFont="1" applyFill="1" applyBorder="1" applyAlignment="1">
      <alignment horizontal="center" vertical="center"/>
    </xf>
    <xf numFmtId="0" fontId="9" fillId="13" borderId="23" xfId="0" applyFont="1" applyFill="1" applyBorder="1" applyAlignment="1">
      <alignment vertical="center"/>
    </xf>
    <xf numFmtId="180" fontId="9" fillId="13" borderId="23" xfId="0" applyNumberFormat="1" applyFont="1" applyFill="1" applyBorder="1" applyAlignment="1">
      <alignment horizontal="center" vertical="center"/>
    </xf>
    <xf numFmtId="178" fontId="55" fillId="0" borderId="0" xfId="0" applyNumberFormat="1" applyFont="1" applyAlignment="1">
      <alignment vertical="center"/>
    </xf>
    <xf numFmtId="164" fontId="55" fillId="0" borderId="0" xfId="0" applyNumberFormat="1" applyFont="1" applyAlignment="1">
      <alignment vertical="center"/>
    </xf>
    <xf numFmtId="164" fontId="19" fillId="0" borderId="0" xfId="3" applyNumberFormat="1" applyFont="1"/>
    <xf numFmtId="193" fontId="6" fillId="0" borderId="6" xfId="1" applyNumberFormat="1" applyFont="1" applyAlignment="1">
      <alignment vertical="center"/>
    </xf>
    <xf numFmtId="178" fontId="38" fillId="0" borderId="0" xfId="0" applyNumberFormat="1" applyFont="1" applyAlignment="1">
      <alignment vertical="center"/>
    </xf>
    <xf numFmtId="164" fontId="6" fillId="0" borderId="0" xfId="3" applyNumberFormat="1" applyFont="1" applyAlignment="1">
      <alignment vertical="center"/>
    </xf>
    <xf numFmtId="10" fontId="6" fillId="0" borderId="0" xfId="3" applyNumberFormat="1" applyFont="1" applyAlignment="1">
      <alignment vertical="center"/>
    </xf>
    <xf numFmtId="0" fontId="60" fillId="0" borderId="0" xfId="0" applyFont="1"/>
    <xf numFmtId="0" fontId="37" fillId="0" borderId="6" xfId="0" applyFont="1" applyBorder="1" applyAlignment="1">
      <alignment horizontal="centerContinuous"/>
    </xf>
    <xf numFmtId="0" fontId="12" fillId="0" borderId="0" xfId="0" applyFont="1"/>
    <xf numFmtId="0" fontId="12" fillId="22" borderId="0" xfId="0" applyFont="1" applyFill="1"/>
    <xf numFmtId="0" fontId="11" fillId="23" borderId="0" xfId="0" applyFont="1" applyFill="1"/>
    <xf numFmtId="14" fontId="11" fillId="23" borderId="0" xfId="0" applyNumberFormat="1" applyFont="1" applyFill="1"/>
    <xf numFmtId="14" fontId="11" fillId="0" borderId="0" xfId="0" applyNumberFormat="1" applyFont="1"/>
    <xf numFmtId="177" fontId="24" fillId="0" borderId="6" xfId="0" applyNumberFormat="1" applyFont="1" applyBorder="1" applyAlignment="1">
      <alignment vertical="center"/>
    </xf>
    <xf numFmtId="0" fontId="8" fillId="7" borderId="0" xfId="0" applyFont="1" applyFill="1" applyAlignment="1">
      <alignment horizontal="centerContinuous" vertical="center"/>
    </xf>
    <xf numFmtId="0" fontId="7" fillId="7" borderId="0" xfId="0" applyFont="1" applyFill="1" applyAlignment="1">
      <alignment horizontal="centerContinuous" vertical="center"/>
    </xf>
    <xf numFmtId="0" fontId="8" fillId="15" borderId="48" xfId="0" applyFont="1" applyFill="1" applyBorder="1" applyAlignment="1">
      <alignment horizontal="centerContinuous" vertical="center"/>
    </xf>
    <xf numFmtId="0" fontId="7" fillId="15" borderId="0" xfId="0" applyFont="1" applyFill="1" applyAlignment="1">
      <alignment horizontal="centerContinuous" vertical="center"/>
    </xf>
    <xf numFmtId="0" fontId="8" fillId="21" borderId="6" xfId="0" applyFont="1" applyFill="1" applyBorder="1" applyAlignment="1">
      <alignment horizontal="centerContinuous" vertical="center"/>
    </xf>
    <xf numFmtId="0" fontId="6" fillId="0" borderId="23" xfId="0" applyFont="1" applyBorder="1" applyAlignment="1">
      <alignment vertical="center"/>
    </xf>
    <xf numFmtId="0" fontId="0" fillId="0" borderId="23" xfId="0" applyBorder="1"/>
    <xf numFmtId="0" fontId="9" fillId="0" borderId="6" xfId="0" applyFont="1" applyBorder="1" applyAlignment="1">
      <alignment horizontal="left" vertical="center" indent="1"/>
    </xf>
    <xf numFmtId="0" fontId="9" fillId="0" borderId="23" xfId="0" applyFont="1" applyBorder="1" applyAlignment="1">
      <alignment horizontal="left" vertical="center" indent="1"/>
    </xf>
    <xf numFmtId="164" fontId="6" fillId="0" borderId="0" xfId="0" applyNumberFormat="1" applyFont="1" applyAlignment="1">
      <alignment vertical="center"/>
    </xf>
    <xf numFmtId="0" fontId="6" fillId="0" borderId="0" xfId="0" applyFont="1" applyAlignment="1">
      <alignment horizontal="left" vertical="center" indent="1"/>
    </xf>
    <xf numFmtId="0" fontId="60" fillId="0" borderId="0" xfId="0" applyFont="1" applyAlignment="1">
      <alignment horizontal="right"/>
    </xf>
    <xf numFmtId="10" fontId="60" fillId="0" borderId="0" xfId="3" applyNumberFormat="1" applyFont="1"/>
    <xf numFmtId="9" fontId="6" fillId="0" borderId="6" xfId="3" applyFont="1" applyBorder="1"/>
    <xf numFmtId="10" fontId="0" fillId="0" borderId="0" xfId="3" applyNumberFormat="1" applyFont="1"/>
    <xf numFmtId="178" fontId="0" fillId="0" borderId="0" xfId="0" applyNumberFormat="1"/>
    <xf numFmtId="0" fontId="10" fillId="16" borderId="43" xfId="0" applyFont="1" applyFill="1" applyBorder="1" applyAlignment="1">
      <alignment horizontal="center" vertical="center"/>
    </xf>
    <xf numFmtId="0" fontId="6" fillId="9" borderId="43" xfId="0" applyFont="1" applyFill="1" applyBorder="1" applyAlignment="1">
      <alignment horizontal="center" vertical="center"/>
    </xf>
    <xf numFmtId="0" fontId="18" fillId="8" borderId="43" xfId="0" applyFont="1" applyFill="1" applyBorder="1" applyAlignment="1">
      <alignment horizontal="center" vertical="center"/>
    </xf>
    <xf numFmtId="172" fontId="6" fillId="9" borderId="43" xfId="0" applyNumberFormat="1" applyFont="1" applyFill="1" applyBorder="1" applyAlignment="1">
      <alignment horizontal="center" vertical="center"/>
    </xf>
    <xf numFmtId="172" fontId="18" fillId="8" borderId="43" xfId="0" applyNumberFormat="1" applyFont="1" applyFill="1" applyBorder="1" applyAlignment="1">
      <alignment horizontal="center" vertical="center"/>
    </xf>
    <xf numFmtId="189" fontId="6" fillId="9" borderId="43" xfId="0" applyNumberFormat="1" applyFont="1" applyFill="1" applyBorder="1" applyAlignment="1">
      <alignment horizontal="center" vertical="center"/>
    </xf>
    <xf numFmtId="189" fontId="18" fillId="8" borderId="43" xfId="0" applyNumberFormat="1" applyFont="1" applyFill="1" applyBorder="1" applyAlignment="1">
      <alignment horizontal="center" vertical="center"/>
    </xf>
    <xf numFmtId="193" fontId="6" fillId="9" borderId="43" xfId="0" applyNumberFormat="1" applyFont="1" applyFill="1" applyBorder="1" applyAlignment="1">
      <alignment horizontal="center" vertical="center"/>
    </xf>
    <xf numFmtId="177" fontId="41" fillId="9" borderId="43" xfId="0" applyNumberFormat="1" applyFont="1" applyFill="1" applyBorder="1" applyAlignment="1">
      <alignment horizontal="center" vertical="center"/>
    </xf>
    <xf numFmtId="187" fontId="6" fillId="9" borderId="43" xfId="0" applyNumberFormat="1" applyFont="1" applyFill="1" applyBorder="1" applyAlignment="1">
      <alignment horizontal="center" vertical="center"/>
    </xf>
    <xf numFmtId="187" fontId="18" fillId="8" borderId="43" xfId="0" applyNumberFormat="1" applyFont="1" applyFill="1" applyBorder="1" applyAlignment="1">
      <alignment horizontal="center" vertical="center"/>
    </xf>
    <xf numFmtId="187" fontId="41" fillId="8" borderId="43" xfId="0" applyNumberFormat="1" applyFont="1" applyFill="1" applyBorder="1" applyAlignment="1">
      <alignment horizontal="center" vertical="center"/>
    </xf>
    <xf numFmtId="177" fontId="18" fillId="8" borderId="43" xfId="0" applyNumberFormat="1" applyFont="1" applyFill="1" applyBorder="1" applyAlignment="1">
      <alignment horizontal="center" vertical="center"/>
    </xf>
    <xf numFmtId="177" fontId="6" fillId="9" borderId="43" xfId="0" applyNumberFormat="1" applyFont="1" applyFill="1" applyBorder="1" applyAlignment="1">
      <alignment horizontal="center" vertical="center"/>
    </xf>
    <xf numFmtId="184" fontId="18" fillId="8" borderId="43" xfId="0" applyNumberFormat="1" applyFont="1" applyFill="1" applyBorder="1" applyAlignment="1">
      <alignment horizontal="center" vertical="center"/>
    </xf>
    <xf numFmtId="177" fontId="55" fillId="8" borderId="43" xfId="0" applyNumberFormat="1" applyFont="1" applyFill="1" applyBorder="1" applyAlignment="1">
      <alignment horizontal="center" vertical="center"/>
    </xf>
    <xf numFmtId="177" fontId="17" fillId="8" borderId="43" xfId="0" applyNumberFormat="1" applyFont="1" applyFill="1" applyBorder="1" applyAlignment="1">
      <alignment horizontal="center" vertical="center"/>
    </xf>
    <xf numFmtId="178" fontId="6" fillId="9" borderId="43" xfId="0" applyNumberFormat="1" applyFont="1" applyFill="1" applyBorder="1" applyAlignment="1">
      <alignment horizontal="center" vertical="center"/>
    </xf>
    <xf numFmtId="178" fontId="41" fillId="8" borderId="43" xfId="0" applyNumberFormat="1" applyFont="1" applyFill="1" applyBorder="1" applyAlignment="1">
      <alignment horizontal="center" vertical="center"/>
    </xf>
    <xf numFmtId="178" fontId="55" fillId="8" borderId="43" xfId="0" applyNumberFormat="1" applyFont="1" applyFill="1" applyBorder="1" applyAlignment="1">
      <alignment horizontal="center" vertical="center"/>
    </xf>
    <xf numFmtId="184" fontId="6" fillId="9" borderId="43" xfId="0" applyNumberFormat="1" applyFont="1" applyFill="1" applyBorder="1" applyAlignment="1">
      <alignment horizontal="center" vertical="center"/>
    </xf>
    <xf numFmtId="182" fontId="18" fillId="8" borderId="43" xfId="0" applyNumberFormat="1" applyFont="1" applyFill="1" applyBorder="1" applyAlignment="1">
      <alignment horizontal="center" vertical="center"/>
    </xf>
    <xf numFmtId="185" fontId="6" fillId="9" borderId="43" xfId="0" applyNumberFormat="1" applyFont="1" applyFill="1" applyBorder="1" applyAlignment="1">
      <alignment horizontal="center" vertical="center"/>
    </xf>
    <xf numFmtId="182" fontId="17" fillId="8" borderId="43" xfId="0" applyNumberFormat="1" applyFont="1" applyFill="1" applyBorder="1" applyAlignment="1">
      <alignment horizontal="center" vertical="center"/>
    </xf>
    <xf numFmtId="183" fontId="6" fillId="9" borderId="43" xfId="0" applyNumberFormat="1" applyFont="1" applyFill="1" applyBorder="1" applyAlignment="1">
      <alignment horizontal="center" vertical="center"/>
    </xf>
    <xf numFmtId="183" fontId="18" fillId="8" borderId="43" xfId="0" applyNumberFormat="1" applyFont="1" applyFill="1" applyBorder="1" applyAlignment="1">
      <alignment horizontal="center" vertical="center"/>
    </xf>
    <xf numFmtId="0" fontId="38" fillId="9" borderId="43" xfId="0" applyFont="1" applyFill="1" applyBorder="1" applyAlignment="1">
      <alignment horizontal="center" vertical="center"/>
    </xf>
    <xf numFmtId="187" fontId="38" fillId="8" borderId="43" xfId="0" applyNumberFormat="1" applyFont="1" applyFill="1" applyBorder="1"/>
    <xf numFmtId="184" fontId="38" fillId="8" borderId="43" xfId="0" applyNumberFormat="1" applyFont="1" applyFill="1" applyBorder="1"/>
    <xf numFmtId="185" fontId="38" fillId="8" borderId="43" xfId="0" applyNumberFormat="1" applyFont="1" applyFill="1" applyBorder="1" applyAlignment="1">
      <alignment vertical="center"/>
    </xf>
    <xf numFmtId="172" fontId="42" fillId="8" borderId="43" xfId="0" applyNumberFormat="1" applyFont="1" applyFill="1" applyBorder="1" applyAlignment="1">
      <alignment horizontal="center" vertical="center"/>
    </xf>
    <xf numFmtId="172" fontId="38" fillId="3" borderId="43" xfId="0" applyNumberFormat="1" applyFont="1" applyFill="1" applyBorder="1" applyAlignment="1">
      <alignment horizontal="center" vertical="center"/>
    </xf>
    <xf numFmtId="4" fontId="38" fillId="3" borderId="43" xfId="0" applyNumberFormat="1" applyFont="1" applyFill="1" applyBorder="1" applyAlignment="1">
      <alignment horizontal="center" vertical="center"/>
    </xf>
    <xf numFmtId="170" fontId="38" fillId="3" borderId="43" xfId="0" applyNumberFormat="1" applyFont="1" applyFill="1" applyBorder="1" applyAlignment="1">
      <alignment horizontal="center" vertical="center"/>
    </xf>
    <xf numFmtId="195" fontId="38" fillId="3" borderId="43" xfId="0" applyNumberFormat="1" applyFont="1" applyFill="1" applyBorder="1" applyAlignment="1">
      <alignment horizontal="center" vertical="center"/>
    </xf>
    <xf numFmtId="10" fontId="6" fillId="0" borderId="0" xfId="0" applyNumberFormat="1" applyFont="1" applyAlignment="1">
      <alignment vertical="center"/>
    </xf>
    <xf numFmtId="172" fontId="9" fillId="9" borderId="23" xfId="1" applyNumberFormat="1" applyFont="1" applyFill="1" applyBorder="1" applyAlignment="1">
      <alignment horizontal="right" vertical="center"/>
    </xf>
    <xf numFmtId="0" fontId="66" fillId="0" borderId="6" xfId="4"/>
    <xf numFmtId="0" fontId="2" fillId="0" borderId="6" xfId="4" applyFont="1"/>
    <xf numFmtId="0" fontId="2" fillId="19" borderId="6" xfId="4" applyFont="1" applyFill="1" applyAlignment="1">
      <alignment horizontal="left"/>
    </xf>
    <xf numFmtId="0" fontId="68" fillId="19" borderId="6" xfId="4" applyFont="1" applyFill="1" applyAlignment="1">
      <alignment horizontal="left"/>
    </xf>
    <xf numFmtId="0" fontId="66" fillId="0" borderId="6" xfId="4" applyAlignment="1">
      <alignment horizontal="left" indent="1"/>
    </xf>
    <xf numFmtId="3" fontId="66" fillId="0" borderId="6" xfId="4" applyNumberFormat="1" applyAlignment="1">
      <alignment horizontal="right"/>
    </xf>
    <xf numFmtId="0" fontId="66" fillId="20" borderId="6" xfId="4" applyFill="1" applyAlignment="1">
      <alignment horizontal="left" indent="1"/>
    </xf>
    <xf numFmtId="3" fontId="66" fillId="20" borderId="6" xfId="4" applyNumberFormat="1" applyFill="1" applyAlignment="1">
      <alignment horizontal="right"/>
    </xf>
    <xf numFmtId="3" fontId="67" fillId="20" borderId="6" xfId="4" applyNumberFormat="1" applyFont="1" applyFill="1" applyAlignment="1">
      <alignment horizontal="right"/>
    </xf>
    <xf numFmtId="3" fontId="67" fillId="0" borderId="6" xfId="4" applyNumberFormat="1" applyFont="1" applyAlignment="1">
      <alignment horizontal="right"/>
    </xf>
    <xf numFmtId="178" fontId="6" fillId="0" borderId="0" xfId="0" applyNumberFormat="1" applyFont="1" applyAlignment="1">
      <alignment vertical="center"/>
    </xf>
    <xf numFmtId="0" fontId="68" fillId="0" borderId="6" xfId="4" applyFont="1" applyAlignment="1">
      <alignment horizontal="left" indent="3"/>
    </xf>
    <xf numFmtId="3" fontId="68" fillId="0" borderId="6" xfId="4" applyNumberFormat="1" applyFont="1" applyAlignment="1">
      <alignment horizontal="right"/>
    </xf>
    <xf numFmtId="0" fontId="68" fillId="20" borderId="6" xfId="4" applyFont="1" applyFill="1" applyAlignment="1">
      <alignment horizontal="left" indent="6"/>
    </xf>
    <xf numFmtId="3" fontId="68" fillId="20" borderId="6" xfId="4" applyNumberFormat="1" applyFont="1" applyFill="1" applyAlignment="1">
      <alignment horizontal="right"/>
    </xf>
    <xf numFmtId="0" fontId="66" fillId="0" borderId="6" xfId="4" quotePrefix="1" applyAlignment="1">
      <alignment horizontal="left" indent="7"/>
    </xf>
    <xf numFmtId="0" fontId="66" fillId="20" borderId="6" xfId="4" quotePrefix="1" applyFill="1" applyAlignment="1">
      <alignment horizontal="left" indent="7"/>
    </xf>
    <xf numFmtId="0" fontId="66" fillId="0" borderId="6" xfId="4" applyAlignment="1">
      <alignment horizontal="left" indent="4"/>
    </xf>
    <xf numFmtId="0" fontId="66" fillId="20" borderId="6" xfId="4" applyFill="1" applyAlignment="1">
      <alignment horizontal="left" indent="4"/>
    </xf>
    <xf numFmtId="9" fontId="6" fillId="0" borderId="0" xfId="3" applyFont="1" applyAlignment="1">
      <alignment vertical="center"/>
    </xf>
    <xf numFmtId="164" fontId="38" fillId="0" borderId="0" xfId="3" applyNumberFormat="1" applyFont="1" applyAlignment="1">
      <alignment vertical="center"/>
    </xf>
    <xf numFmtId="164" fontId="38" fillId="0" borderId="0" xfId="0" applyNumberFormat="1" applyFont="1" applyAlignment="1">
      <alignment vertical="center"/>
    </xf>
    <xf numFmtId="177" fontId="65" fillId="10" borderId="23" xfId="0" applyNumberFormat="1" applyFont="1" applyFill="1" applyBorder="1" applyAlignment="1">
      <alignment vertical="center"/>
    </xf>
    <xf numFmtId="172" fontId="9" fillId="0" borderId="23" xfId="0" applyNumberFormat="1" applyFont="1" applyBorder="1" applyAlignment="1">
      <alignment vertical="center"/>
    </xf>
    <xf numFmtId="0" fontId="6" fillId="10" borderId="0" xfId="0" applyFont="1" applyFill="1" applyAlignment="1">
      <alignment vertical="center"/>
    </xf>
    <xf numFmtId="2" fontId="0" fillId="0" borderId="0" xfId="3" applyNumberFormat="1" applyFont="1"/>
    <xf numFmtId="176" fontId="6" fillId="0" borderId="6" xfId="3" applyNumberFormat="1" applyFont="1" applyBorder="1"/>
    <xf numFmtId="178" fontId="6" fillId="0" borderId="6" xfId="0" applyNumberFormat="1" applyFont="1" applyBorder="1" applyAlignment="1">
      <alignment horizontal="right" vertical="center"/>
    </xf>
    <xf numFmtId="2" fontId="0" fillId="0" borderId="0" xfId="0" applyNumberFormat="1"/>
    <xf numFmtId="2" fontId="60" fillId="0" borderId="0" xfId="0" applyNumberFormat="1" applyFont="1"/>
    <xf numFmtId="0" fontId="24" fillId="0" borderId="0" xfId="0" applyFont="1" applyAlignment="1">
      <alignment horizontal="left" vertical="center" indent="1"/>
    </xf>
    <xf numFmtId="0" fontId="36" fillId="0" borderId="23" xfId="0" applyFont="1" applyBorder="1" applyAlignment="1">
      <alignment horizontal="left" vertical="center" indent="1"/>
    </xf>
    <xf numFmtId="178" fontId="36" fillId="0" borderId="23" xfId="0" applyNumberFormat="1" applyFont="1" applyBorder="1" applyAlignment="1">
      <alignment vertical="center"/>
    </xf>
    <xf numFmtId="0" fontId="36" fillId="0" borderId="23" xfId="0" applyFont="1" applyBorder="1" applyAlignment="1">
      <alignment vertical="center"/>
    </xf>
    <xf numFmtId="0" fontId="70" fillId="0" borderId="23" xfId="0" applyFont="1" applyBorder="1"/>
    <xf numFmtId="0" fontId="36" fillId="0" borderId="0" xfId="0" applyFont="1" applyAlignment="1">
      <alignment vertical="center"/>
    </xf>
    <xf numFmtId="178" fontId="36" fillId="0" borderId="6" xfId="0" applyNumberFormat="1" applyFont="1" applyBorder="1" applyAlignment="1">
      <alignment vertical="center"/>
    </xf>
    <xf numFmtId="178" fontId="24" fillId="0" borderId="6" xfId="0" applyNumberFormat="1" applyFont="1" applyBorder="1" applyAlignment="1">
      <alignment vertical="center"/>
    </xf>
    <xf numFmtId="0" fontId="36" fillId="0" borderId="6" xfId="0" applyFont="1" applyBorder="1" applyAlignment="1">
      <alignment horizontal="left" vertical="center" indent="1"/>
    </xf>
    <xf numFmtId="0" fontId="36" fillId="0" borderId="6" xfId="0" applyFont="1" applyBorder="1" applyAlignment="1">
      <alignment vertical="center"/>
    </xf>
    <xf numFmtId="0" fontId="70" fillId="0" borderId="6" xfId="0" applyFont="1" applyBorder="1"/>
    <xf numFmtId="0" fontId="69" fillId="0" borderId="0" xfId="0" applyFont="1"/>
    <xf numFmtId="9" fontId="24" fillId="0" borderId="0" xfId="0" applyNumberFormat="1" applyFont="1" applyAlignment="1">
      <alignment vertical="center"/>
    </xf>
    <xf numFmtId="10" fontId="24" fillId="0" borderId="0" xfId="3" applyNumberFormat="1" applyFont="1" applyAlignment="1">
      <alignment vertical="center"/>
    </xf>
    <xf numFmtId="178" fontId="71" fillId="0" borderId="0" xfId="0" applyNumberFormat="1" applyFont="1" applyAlignment="1">
      <alignment vertical="center"/>
    </xf>
    <xf numFmtId="164" fontId="38" fillId="10" borderId="0" xfId="3" applyNumberFormat="1" applyFont="1" applyFill="1" applyAlignment="1">
      <alignment vertical="center"/>
    </xf>
    <xf numFmtId="178" fontId="41" fillId="0" borderId="0" xfId="3" applyNumberFormat="1" applyFont="1" applyAlignment="1">
      <alignment vertical="center"/>
    </xf>
    <xf numFmtId="178" fontId="41" fillId="0" borderId="0" xfId="0" applyNumberFormat="1" applyFont="1" applyAlignment="1">
      <alignment vertical="center"/>
    </xf>
    <xf numFmtId="172" fontId="6" fillId="2" borderId="6" xfId="0" applyNumberFormat="1" applyFont="1" applyFill="1" applyBorder="1" applyAlignment="1">
      <alignment vertical="center"/>
    </xf>
    <xf numFmtId="178" fontId="24" fillId="0" borderId="6" xfId="0" applyNumberFormat="1" applyFont="1" applyBorder="1" applyAlignment="1">
      <alignment horizontal="right" vertical="center"/>
    </xf>
    <xf numFmtId="172" fontId="36" fillId="0" borderId="17" xfId="0" applyNumberFormat="1" applyFont="1" applyBorder="1" applyAlignment="1">
      <alignment horizontal="right" vertical="center"/>
    </xf>
    <xf numFmtId="172" fontId="24" fillId="0" borderId="17" xfId="0" applyNumberFormat="1" applyFont="1" applyBorder="1" applyAlignment="1">
      <alignment horizontal="right" vertical="center"/>
    </xf>
    <xf numFmtId="178" fontId="72" fillId="0" borderId="19" xfId="0" applyNumberFormat="1" applyFont="1" applyBorder="1" applyAlignment="1">
      <alignment horizontal="right" vertical="center"/>
    </xf>
    <xf numFmtId="177" fontId="8" fillId="7" borderId="33" xfId="0" applyNumberFormat="1" applyFont="1" applyFill="1" applyBorder="1" applyAlignment="1">
      <alignment horizontal="center" vertical="center"/>
    </xf>
    <xf numFmtId="180" fontId="9" fillId="0" borderId="6" xfId="0" applyNumberFormat="1" applyFont="1" applyBorder="1" applyAlignment="1">
      <alignment horizontal="center" vertical="center"/>
    </xf>
    <xf numFmtId="184" fontId="8" fillId="7" borderId="34" xfId="0" applyNumberFormat="1" applyFont="1" applyFill="1" applyBorder="1" applyAlignment="1">
      <alignment horizontal="center" vertical="center"/>
    </xf>
    <xf numFmtId="172" fontId="6" fillId="0" borderId="44" xfId="1" applyNumberFormat="1" applyFont="1" applyBorder="1" applyAlignment="1">
      <alignment horizontal="right" vertical="center"/>
    </xf>
    <xf numFmtId="172" fontId="6" fillId="0" borderId="6" xfId="1" applyNumberFormat="1" applyFont="1" applyAlignment="1">
      <alignment horizontal="right" vertical="center" wrapText="1"/>
    </xf>
    <xf numFmtId="172" fontId="6" fillId="0" borderId="44" xfId="0" applyNumberFormat="1" applyFont="1" applyBorder="1" applyAlignment="1">
      <alignment horizontal="right" vertical="center"/>
    </xf>
    <xf numFmtId="172" fontId="6" fillId="0" borderId="0" xfId="0" applyNumberFormat="1" applyFont="1" applyAlignment="1">
      <alignment horizontal="right" vertical="center"/>
    </xf>
    <xf numFmtId="172" fontId="6" fillId="0" borderId="49" xfId="1" applyNumberFormat="1" applyFont="1" applyBorder="1" applyAlignment="1">
      <alignment horizontal="right" vertical="center"/>
    </xf>
    <xf numFmtId="172" fontId="6" fillId="10" borderId="44" xfId="0" applyNumberFormat="1" applyFont="1" applyFill="1" applyBorder="1" applyAlignment="1">
      <alignment horizontal="right" vertical="center"/>
    </xf>
    <xf numFmtId="172" fontId="6" fillId="10" borderId="6" xfId="0" applyNumberFormat="1" applyFont="1" applyFill="1" applyBorder="1" applyAlignment="1">
      <alignment horizontal="right" vertical="center"/>
    </xf>
    <xf numFmtId="172" fontId="6" fillId="0" borderId="44" xfId="0" applyNumberFormat="1" applyFont="1" applyBorder="1" applyAlignment="1">
      <alignment vertical="center"/>
    </xf>
    <xf numFmtId="172" fontId="6" fillId="0" borderId="0" xfId="0" applyNumberFormat="1" applyFont="1" applyAlignment="1">
      <alignment vertical="center"/>
    </xf>
    <xf numFmtId="172" fontId="24" fillId="0" borderId="44" xfId="0" applyNumberFormat="1" applyFont="1" applyBorder="1" applyAlignment="1">
      <alignment vertical="center"/>
    </xf>
    <xf numFmtId="172" fontId="24" fillId="0" borderId="0" xfId="0" applyNumberFormat="1" applyFont="1" applyAlignment="1">
      <alignment vertical="center"/>
    </xf>
    <xf numFmtId="176" fontId="9" fillId="10" borderId="45" xfId="1" applyNumberFormat="1" applyFont="1" applyFill="1" applyBorder="1" applyAlignment="1">
      <alignment horizontal="right" vertical="center"/>
    </xf>
    <xf numFmtId="176" fontId="9" fillId="9" borderId="45" xfId="1" applyNumberFormat="1" applyFont="1" applyFill="1" applyBorder="1" applyAlignment="1">
      <alignment horizontal="right" vertical="center"/>
    </xf>
    <xf numFmtId="177" fontId="6" fillId="0" borderId="0" xfId="0" applyNumberFormat="1" applyFont="1" applyAlignment="1">
      <alignment vertical="center"/>
    </xf>
    <xf numFmtId="177" fontId="6" fillId="0" borderId="0" xfId="0" applyNumberFormat="1" applyFont="1" applyAlignment="1">
      <alignment horizontal="center" vertical="center"/>
    </xf>
    <xf numFmtId="0" fontId="8" fillId="0" borderId="6" xfId="0" applyFont="1" applyBorder="1"/>
    <xf numFmtId="196" fontId="9" fillId="10" borderId="23" xfId="0" applyNumberFormat="1" applyFont="1" applyFill="1" applyBorder="1" applyAlignment="1">
      <alignment vertical="center"/>
    </xf>
    <xf numFmtId="196" fontId="9" fillId="0" borderId="6" xfId="0" applyNumberFormat="1" applyFont="1" applyBorder="1" applyAlignment="1">
      <alignment vertical="center"/>
    </xf>
    <xf numFmtId="2" fontId="6" fillId="0" borderId="6" xfId="0" applyNumberFormat="1" applyFont="1" applyBorder="1" applyAlignment="1">
      <alignment vertical="center"/>
    </xf>
    <xf numFmtId="196" fontId="9" fillId="9" borderId="23" xfId="0" applyNumberFormat="1" applyFont="1" applyFill="1" applyBorder="1" applyAlignment="1">
      <alignment vertical="center"/>
    </xf>
    <xf numFmtId="0" fontId="36" fillId="9" borderId="23" xfId="0" applyFont="1" applyFill="1" applyBorder="1" applyAlignment="1">
      <alignment vertical="center"/>
    </xf>
    <xf numFmtId="187" fontId="36" fillId="9" borderId="23" xfId="0" applyNumberFormat="1" applyFont="1" applyFill="1" applyBorder="1" applyAlignment="1">
      <alignment horizontal="right" vertical="center"/>
    </xf>
    <xf numFmtId="187" fontId="36" fillId="9" borderId="23" xfId="0" applyNumberFormat="1" applyFont="1" applyFill="1" applyBorder="1" applyAlignment="1">
      <alignment vertical="center"/>
    </xf>
    <xf numFmtId="172" fontId="8" fillId="15" borderId="33" xfId="0" applyNumberFormat="1" applyFont="1" applyFill="1" applyBorder="1" applyAlignment="1">
      <alignment horizontal="center" vertical="center"/>
    </xf>
    <xf numFmtId="0" fontId="8" fillId="0" borderId="6" xfId="0" applyFont="1" applyBorder="1" applyAlignment="1">
      <alignment horizontal="center" vertical="center"/>
    </xf>
    <xf numFmtId="177" fontId="6" fillId="0" borderId="6" xfId="0" applyNumberFormat="1" applyFont="1" applyBorder="1" applyAlignment="1">
      <alignment vertical="center"/>
    </xf>
    <xf numFmtId="2" fontId="9" fillId="9" borderId="23" xfId="0" applyNumberFormat="1" applyFont="1" applyFill="1" applyBorder="1" applyAlignment="1">
      <alignment vertical="center"/>
    </xf>
    <xf numFmtId="2" fontId="9" fillId="9" borderId="23" xfId="3" applyNumberFormat="1" applyFont="1" applyFill="1" applyBorder="1" applyAlignment="1">
      <alignment vertical="center"/>
    </xf>
    <xf numFmtId="0" fontId="44" fillId="0" borderId="6" xfId="0" applyFont="1" applyBorder="1" applyAlignment="1">
      <alignment vertical="center"/>
    </xf>
    <xf numFmtId="177" fontId="9" fillId="9" borderId="23" xfId="0" applyNumberFormat="1" applyFont="1" applyFill="1" applyBorder="1" applyAlignment="1">
      <alignment vertical="center"/>
    </xf>
    <xf numFmtId="177" fontId="9" fillId="9" borderId="23" xfId="3" applyNumberFormat="1" applyFont="1" applyFill="1" applyBorder="1" applyAlignment="1">
      <alignment vertical="center"/>
    </xf>
    <xf numFmtId="10" fontId="24" fillId="10" borderId="6" xfId="3" applyNumberFormat="1" applyFont="1" applyFill="1" applyBorder="1"/>
    <xf numFmtId="0" fontId="24" fillId="10" borderId="50" xfId="0" applyFont="1" applyFill="1" applyBorder="1"/>
    <xf numFmtId="10" fontId="24" fillId="10" borderId="51" xfId="3" applyNumberFormat="1" applyFont="1" applyFill="1" applyBorder="1"/>
    <xf numFmtId="0" fontId="24" fillId="10" borderId="52" xfId="0" applyFont="1" applyFill="1" applyBorder="1"/>
    <xf numFmtId="0" fontId="24" fillId="10" borderId="53" xfId="0" applyFont="1" applyFill="1" applyBorder="1"/>
    <xf numFmtId="10" fontId="24" fillId="10" borderId="54" xfId="3" applyNumberFormat="1" applyFont="1" applyFill="1" applyBorder="1"/>
    <xf numFmtId="178" fontId="73" fillId="0" borderId="6" xfId="0" applyNumberFormat="1" applyFont="1" applyBorder="1" applyAlignment="1">
      <alignment vertical="center"/>
    </xf>
    <xf numFmtId="0" fontId="8" fillId="15" borderId="48" xfId="0" applyFont="1" applyFill="1" applyBorder="1" applyAlignment="1">
      <alignment horizontal="center" vertical="center"/>
    </xf>
    <xf numFmtId="178" fontId="71" fillId="10" borderId="0" xfId="0" applyNumberFormat="1" applyFont="1" applyFill="1" applyAlignment="1">
      <alignment vertical="center"/>
    </xf>
    <xf numFmtId="0" fontId="0" fillId="0" borderId="6" xfId="0" applyBorder="1" applyAlignment="1">
      <alignment vertical="center"/>
    </xf>
    <xf numFmtId="0" fontId="0" fillId="10" borderId="6" xfId="0" applyFill="1" applyBorder="1" applyAlignment="1">
      <alignment vertical="center"/>
    </xf>
    <xf numFmtId="172" fontId="6" fillId="0" borderId="6" xfId="0" applyNumberFormat="1" applyFont="1" applyBorder="1" applyAlignment="1">
      <alignment vertical="center"/>
    </xf>
    <xf numFmtId="172" fontId="9" fillId="10" borderId="23" xfId="1" applyNumberFormat="1" applyFont="1" applyFill="1" applyBorder="1" applyAlignment="1">
      <alignment horizontal="right" vertical="center"/>
    </xf>
    <xf numFmtId="172" fontId="6" fillId="10" borderId="6" xfId="0" applyNumberFormat="1" applyFont="1" applyFill="1" applyBorder="1" applyAlignment="1">
      <alignment vertical="center"/>
    </xf>
    <xf numFmtId="172" fontId="41" fillId="0" borderId="6" xfId="1" applyNumberFormat="1" applyFont="1" applyAlignment="1">
      <alignment horizontal="right" vertical="center"/>
    </xf>
    <xf numFmtId="176" fontId="45" fillId="10" borderId="23" xfId="1" applyNumberFormat="1" applyFont="1" applyFill="1" applyBorder="1" applyAlignment="1">
      <alignment horizontal="right" vertical="center"/>
    </xf>
    <xf numFmtId="176" fontId="45" fillId="9" borderId="23" xfId="1" applyNumberFormat="1" applyFont="1" applyFill="1" applyBorder="1" applyAlignment="1">
      <alignment horizontal="right" vertical="center"/>
    </xf>
    <xf numFmtId="172" fontId="41" fillId="10" borderId="6" xfId="1" applyNumberFormat="1" applyFont="1" applyFill="1" applyAlignment="1">
      <alignment horizontal="right" vertical="center"/>
    </xf>
    <xf numFmtId="172" fontId="74" fillId="0" borderId="0" xfId="0" applyNumberFormat="1" applyFont="1"/>
    <xf numFmtId="172" fontId="75" fillId="0" borderId="0" xfId="0" applyNumberFormat="1" applyFont="1" applyAlignment="1">
      <alignment vertical="center"/>
    </xf>
    <xf numFmtId="178" fontId="55" fillId="8" borderId="43" xfId="0" applyNumberFormat="1" applyFont="1" applyFill="1" applyBorder="1" applyAlignment="1">
      <alignment vertical="center"/>
    </xf>
    <xf numFmtId="178" fontId="38" fillId="8" borderId="43" xfId="0" applyNumberFormat="1" applyFont="1" applyFill="1" applyBorder="1" applyAlignment="1">
      <alignment horizontal="center" vertical="center"/>
    </xf>
    <xf numFmtId="188" fontId="18" fillId="0" borderId="12" xfId="0" quotePrefix="1" applyNumberFormat="1" applyFont="1" applyBorder="1" applyAlignment="1">
      <alignment horizontal="center"/>
    </xf>
    <xf numFmtId="188" fontId="18" fillId="0" borderId="23" xfId="0" applyNumberFormat="1" applyFont="1" applyBorder="1" applyAlignment="1">
      <alignment horizontal="center"/>
    </xf>
    <xf numFmtId="188" fontId="18" fillId="0" borderId="10" xfId="0" applyNumberFormat="1" applyFont="1" applyBorder="1" applyAlignment="1">
      <alignment horizontal="center"/>
    </xf>
    <xf numFmtId="14" fontId="18" fillId="0" borderId="12" xfId="0" applyNumberFormat="1" applyFont="1" applyBorder="1" applyAlignment="1">
      <alignment horizontal="center"/>
    </xf>
    <xf numFmtId="14" fontId="18" fillId="0" borderId="23" xfId="0" applyNumberFormat="1" applyFont="1" applyBorder="1" applyAlignment="1">
      <alignment horizontal="center"/>
    </xf>
    <xf numFmtId="14" fontId="18" fillId="0" borderId="10" xfId="0" applyNumberFormat="1" applyFont="1" applyBorder="1" applyAlignment="1">
      <alignment horizontal="center"/>
    </xf>
    <xf numFmtId="180" fontId="17" fillId="0" borderId="12" xfId="0" applyNumberFormat="1" applyFont="1" applyBorder="1" applyAlignment="1">
      <alignment horizontal="center"/>
    </xf>
    <xf numFmtId="180" fontId="17" fillId="0" borderId="23" xfId="0" applyNumberFormat="1" applyFont="1" applyBorder="1" applyAlignment="1">
      <alignment horizontal="center"/>
    </xf>
    <xf numFmtId="180" fontId="17" fillId="0" borderId="10" xfId="0" applyNumberFormat="1" applyFont="1" applyBorder="1" applyAlignment="1">
      <alignment horizontal="center"/>
    </xf>
    <xf numFmtId="14" fontId="19" fillId="0" borderId="12" xfId="0" applyNumberFormat="1" applyFont="1" applyBorder="1" applyAlignment="1">
      <alignment horizontal="center"/>
    </xf>
    <xf numFmtId="14" fontId="19" fillId="0" borderId="23" xfId="0" applyNumberFormat="1" applyFont="1" applyBorder="1" applyAlignment="1">
      <alignment horizontal="center"/>
    </xf>
    <xf numFmtId="14" fontId="19" fillId="0" borderId="10" xfId="0" applyNumberFormat="1" applyFont="1" applyBorder="1" applyAlignment="1">
      <alignment horizontal="center"/>
    </xf>
    <xf numFmtId="14" fontId="17" fillId="0" borderId="12" xfId="0" applyNumberFormat="1" applyFont="1" applyBorder="1" applyAlignment="1">
      <alignment horizontal="center"/>
    </xf>
    <xf numFmtId="14" fontId="17" fillId="0" borderId="23" xfId="0" applyNumberFormat="1" applyFont="1" applyBorder="1" applyAlignment="1">
      <alignment horizontal="center"/>
    </xf>
    <xf numFmtId="14" fontId="17" fillId="0" borderId="10" xfId="0" applyNumberFormat="1" applyFont="1" applyBorder="1" applyAlignment="1">
      <alignment horizontal="center"/>
    </xf>
    <xf numFmtId="0" fontId="2" fillId="0" borderId="0" xfId="0" applyNumberFormat="1" applyFont="1" applyFill="1" applyBorder="1" applyAlignment="1">
      <alignment vertical="center"/>
    </xf>
    <xf numFmtId="0" fontId="8" fillId="15" borderId="0" xfId="0" applyNumberFormat="1" applyFont="1" applyFill="1" applyBorder="1" applyAlignment="1">
      <alignment vertical="center" horizontal="center" wrapText="1"/>
    </xf>
    <xf numFmtId="0" fontId="8" fillId="15" borderId="0" xfId="0" applyNumberFormat="1" applyFont="1" applyFill="1" applyBorder="1" applyAlignment="1">
      <alignment vertical="center" horizontal="left"/>
    </xf>
    <xf numFmtId="0" fontId="9" fillId="0" borderId="0" xfId="0" applyNumberFormat="1" applyFont="1" applyFill="1" applyBorder="1" applyAlignment="1">
      <alignment vertical="center"/>
    </xf>
    <xf numFmtId="0" fontId="76" fillId="0" borderId="0" xfId="0" applyNumberFormat="1" applyFont="1" applyFill="1" applyBorder="1" applyAlignment="1">
      <alignment vertical="center"/>
    </xf>
    <xf numFmtId="0" fontId="76" fillId="0" borderId="0" xfId="0" applyNumberFormat="1" applyFont="1" applyFill="1" applyBorder="1" applyAlignment="1">
      <alignment vertical="center" wrapText="1"/>
    </xf>
    <xf numFmtId="184" fontId="38" fillId="0" borderId="0" xfId="0" applyNumberFormat="1" applyFont="1" applyFill="1" applyBorder="1" applyAlignment="1">
      <alignment vertical="center" horizontal="right"/>
    </xf>
    <xf numFmtId="178" fontId="38" fillId="0" borderId="0" xfId="0" applyNumberFormat="1" applyFont="1" applyFill="1" applyBorder="1" applyAlignment="1">
      <alignment vertical="center" horizontal="right"/>
    </xf>
    <xf numFmtId="180" fontId="38" fillId="0" borderId="0" xfId="0" applyNumberFormat="1" applyFont="1" applyFill="1" applyBorder="1" applyAlignment="1">
      <alignment vertical="center" horizontal="right"/>
    </xf>
    <xf numFmtId="177" fontId="38" fillId="0" borderId="0" xfId="0" applyNumberFormat="1" applyFont="1" applyFill="1" applyBorder="1" applyAlignment="1">
      <alignment vertical="center" horizontal="right"/>
    </xf>
    <xf numFmtId="187" fontId="38" fillId="0" borderId="0" xfId="0" applyNumberFormat="1" applyFont="1" applyFill="1" applyBorder="1" applyAlignment="1">
      <alignment vertical="center" horizontal="right"/>
    </xf>
    <xf numFmtId="197" fontId="38" fillId="0" borderId="0" xfId="0" applyNumberFormat="1" applyFont="1" applyFill="1" applyBorder="1" applyAlignment="1">
      <alignment vertical="center" horizontal="right"/>
    </xf>
    <xf numFmtId="0" fontId="38" fillId="0" borderId="0" xfId="0" applyNumberFormat="1" applyFont="1" applyFill="1" applyBorder="1" applyAlignment="1">
      <alignment vertical="center"/>
    </xf>
    <xf numFmtId="176" fontId="38" fillId="0" borderId="0" xfId="0" applyNumberFormat="1" applyFont="1" applyFill="1" applyBorder="1" applyAlignment="1">
      <alignment vertical="center" horizontal="right"/>
    </xf>
    <xf numFmtId="182" fontId="38" fillId="0" borderId="0" xfId="0" applyNumberFormat="1" applyFont="1" applyFill="1" applyBorder="1" applyAlignment="1">
      <alignment vertical="center" horizontal="right"/>
    </xf>
    <xf numFmtId="180" fontId="6" fillId="0" borderId="0" xfId="0" applyNumberFormat="1" applyFont="1" applyFill="1" applyBorder="1" applyAlignment="1">
      <alignment vertical="center" horizontal="right"/>
    </xf>
    <xf numFmtId="178" fontId="6" fillId="0" borderId="0" xfId="0" applyNumberFormat="1" applyFont="1" applyFill="1" applyBorder="1" applyAlignment="1">
      <alignment vertical="center" horizontal="right"/>
    </xf>
    <xf numFmtId="184" fontId="6" fillId="0" borderId="0" xfId="0" applyNumberFormat="1" applyFont="1" applyFill="1" applyBorder="1" applyAlignment="1">
      <alignment vertical="center" horizontal="right"/>
    </xf>
    <xf numFmtId="177" fontId="6" fillId="0" borderId="0" xfId="0" applyNumberFormat="1" applyFont="1" applyFill="1" applyBorder="1" applyAlignment="1">
      <alignment vertical="center" horizontal="right"/>
    </xf>
    <xf numFmtId="197" fontId="6" fillId="0" borderId="0" xfId="0" applyNumberFormat="1" applyFont="1" applyFill="1" applyBorder="1" applyAlignment="1">
      <alignment vertical="center" horizontal="right"/>
    </xf>
    <xf numFmtId="198" fontId="6" fillId="0" borderId="0" xfId="0" applyNumberFormat="1" applyFont="1" applyFill="1" applyBorder="1" applyAlignment="1">
      <alignment vertical="center" horizontal="right"/>
    </xf>
    <xf numFmtId="176" fontId="6" fillId="0" borderId="0" xfId="0" applyNumberFormat="1" applyFont="1" applyFill="1" applyBorder="1" applyAlignment="1">
      <alignment vertical="center" horizontal="right"/>
    </xf>
    <xf numFmtId="180" fontId="9" fillId="0" borderId="0" xfId="0" applyNumberFormat="1" applyFont="1" applyFill="1" applyBorder="1" applyAlignment="1">
      <alignment vertical="center" horizontal="right"/>
    </xf>
    <xf numFmtId="197" fontId="9" fillId="0" borderId="0" xfId="0" applyNumberFormat="1" applyFont="1" applyFill="1" applyBorder="1" applyAlignment="1">
      <alignment vertical="center" horizontal="right"/>
    </xf>
    <xf numFmtId="198" fontId="9" fillId="0" borderId="0" xfId="0" applyNumberFormat="1" applyFont="1" applyFill="1" applyBorder="1" applyAlignment="1">
      <alignment vertical="center" horizontal="right"/>
    </xf>
    <xf numFmtId="184" fontId="8" fillId="15" borderId="0" xfId="0" applyNumberFormat="1" applyFont="1" applyFill="1" applyBorder="1" applyAlignment="1">
      <alignment vertical="center" horizontal="center"/>
    </xf>
    <xf numFmtId="184" fontId="8" fillId="7" borderId="0" xfId="0" applyNumberFormat="1" applyFont="1" applyFill="1" applyBorder="1" applyAlignment="1">
      <alignment vertical="center" horizontal="center"/>
    </xf>
    <xf numFmtId="0" fontId="8" fillId="7" borderId="0" xfId="0" applyNumberFormat="1" applyFont="1" applyFill="1" applyBorder="1" applyAlignment="1">
      <alignment vertical="center" horizontal="center" wrapText="1"/>
    </xf>
    <xf numFmtId="180" fontId="9" fillId="9" borderId="55" xfId="0" applyNumberFormat="1" applyFont="1" applyFill="1" applyBorder="1" applyAlignment="1">
      <alignment vertical="center" horizontal="right"/>
    </xf>
    <xf numFmtId="198" fontId="9" fillId="9" borderId="55" xfId="0" applyNumberFormat="1" applyFont="1" applyFill="1" applyBorder="1" applyAlignment="1">
      <alignment vertical="center" horizontal="right"/>
    </xf>
    <xf numFmtId="0" fontId="9" fillId="9" borderId="56" xfId="0" applyNumberFormat="1" applyFont="1" applyFill="1" applyBorder="1" applyAlignment="1">
      <alignment vertical="center"/>
    </xf>
    <xf numFmtId="180" fontId="9" fillId="9" borderId="56" xfId="0" applyNumberFormat="1" applyFont="1" applyFill="1" applyBorder="1" applyAlignment="1">
      <alignment vertical="center" horizontal="right"/>
    </xf>
    <xf numFmtId="198" fontId="9" fillId="9" borderId="56" xfId="0" applyNumberFormat="1" applyFont="1" applyFill="1" applyBorder="1" applyAlignment="1">
      <alignment vertical="center" horizontal="right"/>
    </xf>
    <xf numFmtId="197" fontId="9" fillId="9" borderId="56" xfId="0" applyNumberFormat="1" applyFont="1" applyFill="1" applyBorder="1" applyAlignment="1">
      <alignment vertical="center" horizontal="right"/>
    </xf>
    <xf numFmtId="164" fontId="18" fillId="8" borderId="55" xfId="0" applyNumberFormat="1" applyFont="1" applyFill="1" applyBorder="1" applyAlignment="1">
      <alignment vertical="center" horizontal="right"/>
    </xf>
  </cellXfs>
  <cellStyles count="5">
    <cellStyle name="Normal" xfId="0" builtinId="0"/>
    <cellStyle name="Normal 2" xfId="1" xr:uid="{4B95D5E1-4E46-4D08-AB02-B5061CF5D2A2}"/>
    <cellStyle name="Normal 3" xfId="2" xr:uid="{079ACCA3-7D97-CE4D-BBB1-BEE3970B2F23}"/>
    <cellStyle name="Normal 4" xfId="4" xr:uid="{3DFA8B6C-3D42-4847-B5F6-859159C1F29D}"/>
    <cellStyle name="Percent" xfId="3" builtinId="5"/>
  </cellStyles>
  <dxfs count="4">
    <dxf>
      <font>
        <color rgb="FFFF0000"/>
      </font>
    </dxf>
    <dxf>
      <font>
        <color rgb="FF00B050"/>
      </font>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EEC600"/>
      <color rgb="FF0A1AE4"/>
      <color rgb="FFFFFFCC"/>
      <color rgb="FFFFD700"/>
      <color rgb="FFF9F9F9"/>
      <color rgb="FFF2F2F2"/>
      <color rgb="FF0A24E4"/>
      <color rgb="FF00336A"/>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16.xml"/><Relationship Id="rId23" Type="http://schemas.openxmlformats.org/officeDocument/2006/relationships/worksheet" Target="worksheets/sheet17.xml"/><Relationship Id="rId24" Type="http://schemas.openxmlformats.org/officeDocument/2006/relationships/worksheet" Target="worksheets/sheet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'Price History'!$B$1:$B$3</c:f>
              <c:strCache>
                <c:ptCount val="3"/>
                <c:pt idx="0">
                  <c:v>Price History: ATEN-US</c:v>
                </c:pt>
                <c:pt idx="2">
                  <c:v>Price</c:v>
                </c:pt>
              </c:strCache>
            </c:strRef>
          </c:tx>
          <c:spPr>
            <a:solidFill>
              <a:schemeClr val="accent1"/>
            </a:solidFill>
            <a:ln>
              <a:noFill/>
            </a:ln>
            <a:effectLst/>
          </c:spPr>
          <c:dLbls>
            <c:delete val="1"/>
          </c:dLbls>
          <c:cat>
            <c:numRef>
              <c:f>'Price History'!$A$4:$A$255</c:f>
              <c:numCache>
                <c:formatCode>m/d/yyyy</c:formatCode>
                <c:ptCount val="252"/>
                <c:pt idx="0">
                  <c:v>46275</c:v>
                </c:pt>
                <c:pt idx="1">
                  <c:v>46274</c:v>
                </c:pt>
                <c:pt idx="2">
                  <c:v>46273</c:v>
                </c:pt>
                <c:pt idx="3">
                  <c:v>46269</c:v>
                </c:pt>
                <c:pt idx="4">
                  <c:v>46268</c:v>
                </c:pt>
                <c:pt idx="5">
                  <c:v>46267</c:v>
                </c:pt>
                <c:pt idx="6">
                  <c:v>46266</c:v>
                </c:pt>
                <c:pt idx="7">
                  <c:v>46265</c:v>
                </c:pt>
                <c:pt idx="8">
                  <c:v>46262</c:v>
                </c:pt>
                <c:pt idx="9">
                  <c:v>46261</c:v>
                </c:pt>
                <c:pt idx="10">
                  <c:v>46260</c:v>
                </c:pt>
                <c:pt idx="11">
                  <c:v>46259</c:v>
                </c:pt>
                <c:pt idx="12">
                  <c:v>46258</c:v>
                </c:pt>
                <c:pt idx="13">
                  <c:v>46255</c:v>
                </c:pt>
                <c:pt idx="14">
                  <c:v>46254</c:v>
                </c:pt>
                <c:pt idx="15">
                  <c:v>46253</c:v>
                </c:pt>
                <c:pt idx="16">
                  <c:v>46252</c:v>
                </c:pt>
                <c:pt idx="17">
                  <c:v>46251</c:v>
                </c:pt>
                <c:pt idx="18">
                  <c:v>46248</c:v>
                </c:pt>
                <c:pt idx="19">
                  <c:v>46247</c:v>
                </c:pt>
                <c:pt idx="20">
                  <c:v>46246</c:v>
                </c:pt>
                <c:pt idx="21">
                  <c:v>46245</c:v>
                </c:pt>
                <c:pt idx="22">
                  <c:v>46244</c:v>
                </c:pt>
                <c:pt idx="23">
                  <c:v>46241</c:v>
                </c:pt>
                <c:pt idx="24">
                  <c:v>46240</c:v>
                </c:pt>
                <c:pt idx="25">
                  <c:v>46239</c:v>
                </c:pt>
                <c:pt idx="26">
                  <c:v>46238</c:v>
                </c:pt>
                <c:pt idx="27">
                  <c:v>46237</c:v>
                </c:pt>
                <c:pt idx="28">
                  <c:v>46234</c:v>
                </c:pt>
                <c:pt idx="29">
                  <c:v>46233</c:v>
                </c:pt>
                <c:pt idx="30">
                  <c:v>46232</c:v>
                </c:pt>
                <c:pt idx="31">
                  <c:v>46231</c:v>
                </c:pt>
                <c:pt idx="32">
                  <c:v>46230</c:v>
                </c:pt>
                <c:pt idx="33">
                  <c:v>46227</c:v>
                </c:pt>
                <c:pt idx="34">
                  <c:v>46226</c:v>
                </c:pt>
                <c:pt idx="35">
                  <c:v>46225</c:v>
                </c:pt>
                <c:pt idx="36">
                  <c:v>46224</c:v>
                </c:pt>
                <c:pt idx="37">
                  <c:v>46223</c:v>
                </c:pt>
                <c:pt idx="38">
                  <c:v>46220</c:v>
                </c:pt>
                <c:pt idx="39">
                  <c:v>46219</c:v>
                </c:pt>
                <c:pt idx="40">
                  <c:v>46218</c:v>
                </c:pt>
                <c:pt idx="41">
                  <c:v>46217</c:v>
                </c:pt>
                <c:pt idx="42">
                  <c:v>46216</c:v>
                </c:pt>
                <c:pt idx="43">
                  <c:v>46213</c:v>
                </c:pt>
                <c:pt idx="44">
                  <c:v>46212</c:v>
                </c:pt>
                <c:pt idx="45">
                  <c:v>46211</c:v>
                </c:pt>
                <c:pt idx="46">
                  <c:v>46210</c:v>
                </c:pt>
                <c:pt idx="47">
                  <c:v>46209</c:v>
                </c:pt>
                <c:pt idx="48">
                  <c:v>46205</c:v>
                </c:pt>
                <c:pt idx="49">
                  <c:v>46204</c:v>
                </c:pt>
                <c:pt idx="50">
                  <c:v>46203</c:v>
                </c:pt>
                <c:pt idx="51">
                  <c:v>46202</c:v>
                </c:pt>
                <c:pt idx="52">
                  <c:v>46199</c:v>
                </c:pt>
                <c:pt idx="53">
                  <c:v>46198</c:v>
                </c:pt>
                <c:pt idx="54">
                  <c:v>46197</c:v>
                </c:pt>
                <c:pt idx="55">
                  <c:v>46196</c:v>
                </c:pt>
                <c:pt idx="56">
                  <c:v>46195</c:v>
                </c:pt>
                <c:pt idx="57">
                  <c:v>46191</c:v>
                </c:pt>
                <c:pt idx="58">
                  <c:v>46190</c:v>
                </c:pt>
                <c:pt idx="59">
                  <c:v>46189</c:v>
                </c:pt>
                <c:pt idx="60">
                  <c:v>46188</c:v>
                </c:pt>
                <c:pt idx="61">
                  <c:v>46185</c:v>
                </c:pt>
                <c:pt idx="62">
                  <c:v>46184</c:v>
                </c:pt>
                <c:pt idx="63">
                  <c:v>46183</c:v>
                </c:pt>
                <c:pt idx="64">
                  <c:v>46182</c:v>
                </c:pt>
                <c:pt idx="65">
                  <c:v>46181</c:v>
                </c:pt>
                <c:pt idx="66">
                  <c:v>46178</c:v>
                </c:pt>
                <c:pt idx="67">
                  <c:v>46177</c:v>
                </c:pt>
                <c:pt idx="68">
                  <c:v>46176</c:v>
                </c:pt>
                <c:pt idx="69">
                  <c:v>46175</c:v>
                </c:pt>
                <c:pt idx="70">
                  <c:v>46174</c:v>
                </c:pt>
                <c:pt idx="71">
                  <c:v>46171</c:v>
                </c:pt>
                <c:pt idx="72">
                  <c:v>46170</c:v>
                </c:pt>
                <c:pt idx="73">
                  <c:v>46169</c:v>
                </c:pt>
                <c:pt idx="74">
                  <c:v>46168</c:v>
                </c:pt>
                <c:pt idx="75">
                  <c:v>46164</c:v>
                </c:pt>
                <c:pt idx="76">
                  <c:v>46163</c:v>
                </c:pt>
                <c:pt idx="77">
                  <c:v>46162</c:v>
                </c:pt>
                <c:pt idx="78">
                  <c:v>46161</c:v>
                </c:pt>
                <c:pt idx="79">
                  <c:v>46160</c:v>
                </c:pt>
                <c:pt idx="80">
                  <c:v>46157</c:v>
                </c:pt>
                <c:pt idx="81">
                  <c:v>46156</c:v>
                </c:pt>
                <c:pt idx="82">
                  <c:v>46155</c:v>
                </c:pt>
                <c:pt idx="83">
                  <c:v>46154</c:v>
                </c:pt>
                <c:pt idx="84">
                  <c:v>46153</c:v>
                </c:pt>
                <c:pt idx="85">
                  <c:v>46150</c:v>
                </c:pt>
                <c:pt idx="86">
                  <c:v>46149</c:v>
                </c:pt>
                <c:pt idx="87">
                  <c:v>46148</c:v>
                </c:pt>
                <c:pt idx="88">
                  <c:v>46147</c:v>
                </c:pt>
                <c:pt idx="89">
                  <c:v>46146</c:v>
                </c:pt>
                <c:pt idx="90">
                  <c:v>46143</c:v>
                </c:pt>
                <c:pt idx="91">
                  <c:v>46142</c:v>
                </c:pt>
                <c:pt idx="92">
                  <c:v>46141</c:v>
                </c:pt>
                <c:pt idx="93">
                  <c:v>46140</c:v>
                </c:pt>
                <c:pt idx="94">
                  <c:v>46139</c:v>
                </c:pt>
                <c:pt idx="95">
                  <c:v>46136</c:v>
                </c:pt>
                <c:pt idx="96">
                  <c:v>46135</c:v>
                </c:pt>
                <c:pt idx="97">
                  <c:v>46134</c:v>
                </c:pt>
                <c:pt idx="98">
                  <c:v>46133</c:v>
                </c:pt>
                <c:pt idx="99">
                  <c:v>46132</c:v>
                </c:pt>
                <c:pt idx="100">
                  <c:v>46129</c:v>
                </c:pt>
                <c:pt idx="101">
                  <c:v>46128</c:v>
                </c:pt>
                <c:pt idx="102">
                  <c:v>46127</c:v>
                </c:pt>
                <c:pt idx="103">
                  <c:v>46126</c:v>
                </c:pt>
                <c:pt idx="104">
                  <c:v>46125</c:v>
                </c:pt>
                <c:pt idx="105">
                  <c:v>46122</c:v>
                </c:pt>
                <c:pt idx="106">
                  <c:v>46121</c:v>
                </c:pt>
                <c:pt idx="107">
                  <c:v>46120</c:v>
                </c:pt>
                <c:pt idx="108">
                  <c:v>46119</c:v>
                </c:pt>
                <c:pt idx="109">
                  <c:v>46118</c:v>
                </c:pt>
                <c:pt idx="110">
                  <c:v>46114</c:v>
                </c:pt>
                <c:pt idx="111">
                  <c:v>46113</c:v>
                </c:pt>
                <c:pt idx="112">
                  <c:v>46112</c:v>
                </c:pt>
                <c:pt idx="113">
                  <c:v>46111</c:v>
                </c:pt>
                <c:pt idx="114">
                  <c:v>46108</c:v>
                </c:pt>
                <c:pt idx="115">
                  <c:v>46107</c:v>
                </c:pt>
                <c:pt idx="116">
                  <c:v>46106</c:v>
                </c:pt>
                <c:pt idx="117">
                  <c:v>46105</c:v>
                </c:pt>
                <c:pt idx="118">
                  <c:v>46104</c:v>
                </c:pt>
                <c:pt idx="119">
                  <c:v>46101</c:v>
                </c:pt>
                <c:pt idx="120">
                  <c:v>46100</c:v>
                </c:pt>
                <c:pt idx="121">
                  <c:v>46099</c:v>
                </c:pt>
                <c:pt idx="122">
                  <c:v>46098</c:v>
                </c:pt>
                <c:pt idx="123">
                  <c:v>46097</c:v>
                </c:pt>
                <c:pt idx="124">
                  <c:v>46094</c:v>
                </c:pt>
                <c:pt idx="125">
                  <c:v>46093</c:v>
                </c:pt>
                <c:pt idx="126">
                  <c:v>46092</c:v>
                </c:pt>
                <c:pt idx="127">
                  <c:v>46091</c:v>
                </c:pt>
                <c:pt idx="128">
                  <c:v>46090</c:v>
                </c:pt>
                <c:pt idx="129">
                  <c:v>46087</c:v>
                </c:pt>
                <c:pt idx="130">
                  <c:v>46086</c:v>
                </c:pt>
                <c:pt idx="131">
                  <c:v>46085</c:v>
                </c:pt>
                <c:pt idx="132">
                  <c:v>46084</c:v>
                </c:pt>
                <c:pt idx="133">
                  <c:v>46083</c:v>
                </c:pt>
                <c:pt idx="134">
                  <c:v>46080</c:v>
                </c:pt>
                <c:pt idx="135">
                  <c:v>46079</c:v>
                </c:pt>
                <c:pt idx="136">
                  <c:v>46078</c:v>
                </c:pt>
                <c:pt idx="137">
                  <c:v>46077</c:v>
                </c:pt>
                <c:pt idx="138">
                  <c:v>46076</c:v>
                </c:pt>
                <c:pt idx="139">
                  <c:v>46073</c:v>
                </c:pt>
                <c:pt idx="140">
                  <c:v>46072</c:v>
                </c:pt>
                <c:pt idx="141">
                  <c:v>46071</c:v>
                </c:pt>
                <c:pt idx="142">
                  <c:v>46070</c:v>
                </c:pt>
                <c:pt idx="143">
                  <c:v>46066</c:v>
                </c:pt>
                <c:pt idx="144">
                  <c:v>46065</c:v>
                </c:pt>
                <c:pt idx="145">
                  <c:v>46064</c:v>
                </c:pt>
                <c:pt idx="146">
                  <c:v>46063</c:v>
                </c:pt>
                <c:pt idx="147">
                  <c:v>46062</c:v>
                </c:pt>
                <c:pt idx="148">
                  <c:v>46059</c:v>
                </c:pt>
                <c:pt idx="149">
                  <c:v>46058</c:v>
                </c:pt>
                <c:pt idx="150">
                  <c:v>46057</c:v>
                </c:pt>
                <c:pt idx="151">
                  <c:v>46056</c:v>
                </c:pt>
                <c:pt idx="152">
                  <c:v>46055</c:v>
                </c:pt>
                <c:pt idx="153">
                  <c:v>46052</c:v>
                </c:pt>
                <c:pt idx="154">
                  <c:v>46051</c:v>
                </c:pt>
                <c:pt idx="155">
                  <c:v>46050</c:v>
                </c:pt>
                <c:pt idx="156">
                  <c:v>46049</c:v>
                </c:pt>
                <c:pt idx="157">
                  <c:v>46048</c:v>
                </c:pt>
                <c:pt idx="158">
                  <c:v>46045</c:v>
                </c:pt>
                <c:pt idx="159">
                  <c:v>46044</c:v>
                </c:pt>
                <c:pt idx="160">
                  <c:v>46043</c:v>
                </c:pt>
                <c:pt idx="161">
                  <c:v>46042</c:v>
                </c:pt>
                <c:pt idx="162">
                  <c:v>46038</c:v>
                </c:pt>
                <c:pt idx="163">
                  <c:v>46037</c:v>
                </c:pt>
                <c:pt idx="164">
                  <c:v>46036</c:v>
                </c:pt>
                <c:pt idx="165">
                  <c:v>46035</c:v>
                </c:pt>
                <c:pt idx="166">
                  <c:v>46034</c:v>
                </c:pt>
                <c:pt idx="167">
                  <c:v>46031</c:v>
                </c:pt>
                <c:pt idx="168">
                  <c:v>46030</c:v>
                </c:pt>
                <c:pt idx="169">
                  <c:v>46029</c:v>
                </c:pt>
                <c:pt idx="170">
                  <c:v>46028</c:v>
                </c:pt>
                <c:pt idx="171">
                  <c:v>46027</c:v>
                </c:pt>
                <c:pt idx="172">
                  <c:v>46024</c:v>
                </c:pt>
                <c:pt idx="173">
                  <c:v>46022</c:v>
                </c:pt>
                <c:pt idx="174">
                  <c:v>46021</c:v>
                </c:pt>
                <c:pt idx="175">
                  <c:v>46020</c:v>
                </c:pt>
                <c:pt idx="176">
                  <c:v>46017</c:v>
                </c:pt>
                <c:pt idx="177">
                  <c:v>46015</c:v>
                </c:pt>
                <c:pt idx="178">
                  <c:v>46014</c:v>
                </c:pt>
                <c:pt idx="179">
                  <c:v>46013</c:v>
                </c:pt>
                <c:pt idx="180">
                  <c:v>46010</c:v>
                </c:pt>
                <c:pt idx="181">
                  <c:v>46009</c:v>
                </c:pt>
                <c:pt idx="182">
                  <c:v>46008</c:v>
                </c:pt>
                <c:pt idx="183">
                  <c:v>46007</c:v>
                </c:pt>
                <c:pt idx="184">
                  <c:v>46006</c:v>
                </c:pt>
                <c:pt idx="185">
                  <c:v>46003</c:v>
                </c:pt>
                <c:pt idx="186">
                  <c:v>46002</c:v>
                </c:pt>
                <c:pt idx="187">
                  <c:v>46001</c:v>
                </c:pt>
                <c:pt idx="188">
                  <c:v>46000</c:v>
                </c:pt>
                <c:pt idx="189">
                  <c:v>45999</c:v>
                </c:pt>
                <c:pt idx="190">
                  <c:v>45996</c:v>
                </c:pt>
                <c:pt idx="191">
                  <c:v>45995</c:v>
                </c:pt>
                <c:pt idx="192">
                  <c:v>45994</c:v>
                </c:pt>
                <c:pt idx="193">
                  <c:v>45993</c:v>
                </c:pt>
                <c:pt idx="194">
                  <c:v>45992</c:v>
                </c:pt>
                <c:pt idx="195">
                  <c:v>45989</c:v>
                </c:pt>
                <c:pt idx="196">
                  <c:v>45987</c:v>
                </c:pt>
                <c:pt idx="197">
                  <c:v>45986</c:v>
                </c:pt>
                <c:pt idx="198">
                  <c:v>45985</c:v>
                </c:pt>
                <c:pt idx="199">
                  <c:v>45982</c:v>
                </c:pt>
                <c:pt idx="200">
                  <c:v>45981</c:v>
                </c:pt>
                <c:pt idx="201">
                  <c:v>45980</c:v>
                </c:pt>
                <c:pt idx="202">
                  <c:v>45979</c:v>
                </c:pt>
                <c:pt idx="203">
                  <c:v>45978</c:v>
                </c:pt>
                <c:pt idx="204">
                  <c:v>45975</c:v>
                </c:pt>
                <c:pt idx="205">
                  <c:v>45974</c:v>
                </c:pt>
                <c:pt idx="206">
                  <c:v>45973</c:v>
                </c:pt>
                <c:pt idx="207">
                  <c:v>45972</c:v>
                </c:pt>
                <c:pt idx="208">
                  <c:v>45971</c:v>
                </c:pt>
                <c:pt idx="209">
                  <c:v>45968</c:v>
                </c:pt>
                <c:pt idx="210">
                  <c:v>45967</c:v>
                </c:pt>
                <c:pt idx="211">
                  <c:v>45966</c:v>
                </c:pt>
                <c:pt idx="212">
                  <c:v>45965</c:v>
                </c:pt>
                <c:pt idx="213">
                  <c:v>45964</c:v>
                </c:pt>
                <c:pt idx="214">
                  <c:v>45961</c:v>
                </c:pt>
                <c:pt idx="215">
                  <c:v>45960</c:v>
                </c:pt>
                <c:pt idx="216">
                  <c:v>45959</c:v>
                </c:pt>
                <c:pt idx="217">
                  <c:v>45958</c:v>
                </c:pt>
                <c:pt idx="218">
                  <c:v>45957</c:v>
                </c:pt>
                <c:pt idx="219">
                  <c:v>45954</c:v>
                </c:pt>
                <c:pt idx="220">
                  <c:v>45953</c:v>
                </c:pt>
                <c:pt idx="221">
                  <c:v>45952</c:v>
                </c:pt>
                <c:pt idx="222">
                  <c:v>45951</c:v>
                </c:pt>
                <c:pt idx="223">
                  <c:v>45950</c:v>
                </c:pt>
                <c:pt idx="224">
                  <c:v>45947</c:v>
                </c:pt>
                <c:pt idx="225">
                  <c:v>45946</c:v>
                </c:pt>
                <c:pt idx="226">
                  <c:v>45945</c:v>
                </c:pt>
                <c:pt idx="227">
                  <c:v>45944</c:v>
                </c:pt>
                <c:pt idx="228">
                  <c:v>45943</c:v>
                </c:pt>
                <c:pt idx="229">
                  <c:v>45940</c:v>
                </c:pt>
                <c:pt idx="230">
                  <c:v>45939</c:v>
                </c:pt>
                <c:pt idx="231">
                  <c:v>45938</c:v>
                </c:pt>
                <c:pt idx="232">
                  <c:v>45937</c:v>
                </c:pt>
                <c:pt idx="233">
                  <c:v>45936</c:v>
                </c:pt>
                <c:pt idx="234">
                  <c:v>45933</c:v>
                </c:pt>
                <c:pt idx="235">
                  <c:v>45932</c:v>
                </c:pt>
                <c:pt idx="236">
                  <c:v>45931</c:v>
                </c:pt>
                <c:pt idx="237">
                  <c:v>45930</c:v>
                </c:pt>
                <c:pt idx="238">
                  <c:v>45929</c:v>
                </c:pt>
                <c:pt idx="239">
                  <c:v>45926</c:v>
                </c:pt>
                <c:pt idx="240">
                  <c:v>45925</c:v>
                </c:pt>
                <c:pt idx="241">
                  <c:v>45924</c:v>
                </c:pt>
                <c:pt idx="242">
                  <c:v>45923</c:v>
                </c:pt>
                <c:pt idx="243">
                  <c:v>45922</c:v>
                </c:pt>
                <c:pt idx="244">
                  <c:v>45919</c:v>
                </c:pt>
                <c:pt idx="245">
                  <c:v>45918</c:v>
                </c:pt>
                <c:pt idx="246">
                  <c:v>45917</c:v>
                </c:pt>
                <c:pt idx="247">
                  <c:v>45916</c:v>
                </c:pt>
                <c:pt idx="248">
                  <c:v>45915</c:v>
                </c:pt>
                <c:pt idx="249">
                  <c:v>45912</c:v>
                </c:pt>
                <c:pt idx="250">
                  <c:v>45911</c:v>
                </c:pt>
                <c:pt idx="251">
                  <c:v>45910</c:v>
                </c:pt>
              </c:numCache>
            </c:numRef>
          </c:cat>
          <c:val>
            <c:numRef>
              <c:f>'Price History'!$B$4:$B$255</c:f>
              <c:numCache>
                <c:formatCode>General</c:formatCode>
                <c:ptCount val="252"/>
                <c:pt idx="0">
                  <c:v>24.63</c:v>
                </c:pt>
                <c:pt idx="1">
                  <c:v>24.79</c:v>
                </c:pt>
                <c:pt idx="2">
                  <c:v>24.52</c:v>
                </c:pt>
                <c:pt idx="3">
                  <c:v>24.59</c:v>
                </c:pt>
                <c:pt idx="4">
                  <c:v>24.71</c:v>
                </c:pt>
                <c:pt idx="5">
                  <c:v>24.76</c:v>
                </c:pt>
                <c:pt idx="6">
                  <c:v>24.95</c:v>
                </c:pt>
                <c:pt idx="7">
                  <c:v>25.39</c:v>
                </c:pt>
                <c:pt idx="8">
                  <c:v>25.7</c:v>
                </c:pt>
                <c:pt idx="9">
                  <c:v>27.03</c:v>
                </c:pt>
                <c:pt idx="10">
                  <c:v>25.89</c:v>
                </c:pt>
                <c:pt idx="11">
                  <c:v>25.13</c:v>
                </c:pt>
                <c:pt idx="12">
                  <c:v>25.23</c:v>
                </c:pt>
                <c:pt idx="13">
                  <c:v>26.12</c:v>
                </c:pt>
                <c:pt idx="14">
                  <c:v>25.53</c:v>
                </c:pt>
                <c:pt idx="15">
                  <c:v>25.75</c:v>
                </c:pt>
                <c:pt idx="16">
                  <c:v>26.6</c:v>
                </c:pt>
                <c:pt idx="17">
                  <c:v>27.35</c:v>
                </c:pt>
                <c:pt idx="18">
                  <c:v>27.4</c:v>
                </c:pt>
                <c:pt idx="19">
                  <c:v>27</c:v>
                </c:pt>
                <c:pt idx="20">
                  <c:v>27.49</c:v>
                </c:pt>
                <c:pt idx="21">
                  <c:v>27.17</c:v>
                </c:pt>
                <c:pt idx="22">
                  <c:v>28.33</c:v>
                </c:pt>
                <c:pt idx="23">
                  <c:v>26.84</c:v>
                </c:pt>
                <c:pt idx="24">
                  <c:v>27.6</c:v>
                </c:pt>
                <c:pt idx="25">
                  <c:v>30.84</c:v>
                </c:pt>
                <c:pt idx="26">
                  <c:v>30.7</c:v>
                </c:pt>
                <c:pt idx="27">
                  <c:v>29.95</c:v>
                </c:pt>
                <c:pt idx="28">
                  <c:v>29.57</c:v>
                </c:pt>
                <c:pt idx="29">
                  <c:v>29.95</c:v>
                </c:pt>
                <c:pt idx="30">
                  <c:v>28.78</c:v>
                </c:pt>
                <c:pt idx="31">
                  <c:v>31.32</c:v>
                </c:pt>
                <c:pt idx="32">
                  <c:v>33.47</c:v>
                </c:pt>
                <c:pt idx="33">
                  <c:v>34.270000000000003</c:v>
                </c:pt>
                <c:pt idx="34">
                  <c:v>34.659999999999997</c:v>
                </c:pt>
                <c:pt idx="35">
                  <c:v>35.54</c:v>
                </c:pt>
                <c:pt idx="36">
                  <c:v>36.43</c:v>
                </c:pt>
                <c:pt idx="37">
                  <c:v>35.79</c:v>
                </c:pt>
                <c:pt idx="38">
                  <c:v>35.96</c:v>
                </c:pt>
                <c:pt idx="39">
                  <c:v>36.090000000000003</c:v>
                </c:pt>
                <c:pt idx="40">
                  <c:v>36.299999999999997</c:v>
                </c:pt>
                <c:pt idx="41">
                  <c:v>37.64</c:v>
                </c:pt>
                <c:pt idx="42">
                  <c:v>36.79</c:v>
                </c:pt>
                <c:pt idx="43">
                  <c:v>37.17</c:v>
                </c:pt>
                <c:pt idx="44">
                  <c:v>38.11</c:v>
                </c:pt>
                <c:pt idx="45">
                  <c:v>37.090000000000003</c:v>
                </c:pt>
                <c:pt idx="46">
                  <c:v>36.520000000000003</c:v>
                </c:pt>
                <c:pt idx="47">
                  <c:v>36.44</c:v>
                </c:pt>
                <c:pt idx="48">
                  <c:v>36.299999999999997</c:v>
                </c:pt>
                <c:pt idx="49">
                  <c:v>38</c:v>
                </c:pt>
                <c:pt idx="50">
                  <c:v>37.36</c:v>
                </c:pt>
                <c:pt idx="51">
                  <c:v>36.33</c:v>
                </c:pt>
                <c:pt idx="52">
                  <c:v>34.979999999999997</c:v>
                </c:pt>
                <c:pt idx="53">
                  <c:v>34.74</c:v>
                </c:pt>
                <c:pt idx="54">
                  <c:v>34.18</c:v>
                </c:pt>
                <c:pt idx="55">
                  <c:v>33.85</c:v>
                </c:pt>
                <c:pt idx="56">
                  <c:v>33.770000000000003</c:v>
                </c:pt>
                <c:pt idx="57">
                  <c:v>33.26</c:v>
                </c:pt>
                <c:pt idx="58">
                  <c:v>32.92</c:v>
                </c:pt>
                <c:pt idx="59">
                  <c:v>32.43</c:v>
                </c:pt>
                <c:pt idx="60">
                  <c:v>32.700000000000003</c:v>
                </c:pt>
                <c:pt idx="61">
                  <c:v>31.76</c:v>
                </c:pt>
                <c:pt idx="62">
                  <c:v>32.659999999999997</c:v>
                </c:pt>
                <c:pt idx="63">
                  <c:v>31.72</c:v>
                </c:pt>
                <c:pt idx="64">
                  <c:v>30.95</c:v>
                </c:pt>
                <c:pt idx="65">
                  <c:v>30.98</c:v>
                </c:pt>
                <c:pt idx="66">
                  <c:v>30.57</c:v>
                </c:pt>
                <c:pt idx="67">
                  <c:v>31.7</c:v>
                </c:pt>
                <c:pt idx="68">
                  <c:v>31.44</c:v>
                </c:pt>
                <c:pt idx="69">
                  <c:v>32.64</c:v>
                </c:pt>
                <c:pt idx="70">
                  <c:v>31.54</c:v>
                </c:pt>
                <c:pt idx="71">
                  <c:v>30.14</c:v>
                </c:pt>
                <c:pt idx="72">
                  <c:v>29.24</c:v>
                </c:pt>
                <c:pt idx="73">
                  <c:v>29.15</c:v>
                </c:pt>
                <c:pt idx="74">
                  <c:v>29.56</c:v>
                </c:pt>
                <c:pt idx="75">
                  <c:v>29.16</c:v>
                </c:pt>
                <c:pt idx="76">
                  <c:v>28.33</c:v>
                </c:pt>
                <c:pt idx="77">
                  <c:v>28.68</c:v>
                </c:pt>
                <c:pt idx="78">
                  <c:v>28.28</c:v>
                </c:pt>
                <c:pt idx="79">
                  <c:v>28.12</c:v>
                </c:pt>
                <c:pt idx="80">
                  <c:v>27.95</c:v>
                </c:pt>
                <c:pt idx="81">
                  <c:v>28.03</c:v>
                </c:pt>
                <c:pt idx="82">
                  <c:v>27.73</c:v>
                </c:pt>
                <c:pt idx="83">
                  <c:v>27.35</c:v>
                </c:pt>
                <c:pt idx="84">
                  <c:v>28.02</c:v>
                </c:pt>
                <c:pt idx="85">
                  <c:v>27.8</c:v>
                </c:pt>
                <c:pt idx="86">
                  <c:v>27.27</c:v>
                </c:pt>
                <c:pt idx="87">
                  <c:v>26.72</c:v>
                </c:pt>
                <c:pt idx="88">
                  <c:v>27.13</c:v>
                </c:pt>
                <c:pt idx="89">
                  <c:v>27.04</c:v>
                </c:pt>
                <c:pt idx="90">
                  <c:v>26.85</c:v>
                </c:pt>
                <c:pt idx="91">
                  <c:v>26.68</c:v>
                </c:pt>
                <c:pt idx="92">
                  <c:v>26.63</c:v>
                </c:pt>
                <c:pt idx="93">
                  <c:v>28.13</c:v>
                </c:pt>
                <c:pt idx="94">
                  <c:v>27.69</c:v>
                </c:pt>
                <c:pt idx="95">
                  <c:v>27.56</c:v>
                </c:pt>
                <c:pt idx="96">
                  <c:v>26.62</c:v>
                </c:pt>
                <c:pt idx="97">
                  <c:v>27.65</c:v>
                </c:pt>
                <c:pt idx="98">
                  <c:v>27.71</c:v>
                </c:pt>
                <c:pt idx="99">
                  <c:v>27.22</c:v>
                </c:pt>
                <c:pt idx="100">
                  <c:v>27.55</c:v>
                </c:pt>
                <c:pt idx="101">
                  <c:v>26.52</c:v>
                </c:pt>
                <c:pt idx="102">
                  <c:v>25.51</c:v>
                </c:pt>
                <c:pt idx="103">
                  <c:v>25.05</c:v>
                </c:pt>
                <c:pt idx="104">
                  <c:v>24.93</c:v>
                </c:pt>
                <c:pt idx="105">
                  <c:v>24</c:v>
                </c:pt>
                <c:pt idx="106">
                  <c:v>24.7</c:v>
                </c:pt>
                <c:pt idx="107">
                  <c:v>25.03</c:v>
                </c:pt>
                <c:pt idx="108">
                  <c:v>24.68</c:v>
                </c:pt>
                <c:pt idx="109">
                  <c:v>23.98</c:v>
                </c:pt>
                <c:pt idx="110">
                  <c:v>23.99</c:v>
                </c:pt>
                <c:pt idx="111">
                  <c:v>24.08</c:v>
                </c:pt>
                <c:pt idx="112">
                  <c:v>23.12</c:v>
                </c:pt>
                <c:pt idx="113">
                  <c:v>22.36</c:v>
                </c:pt>
                <c:pt idx="114">
                  <c:v>22.34</c:v>
                </c:pt>
                <c:pt idx="115">
                  <c:v>23.18</c:v>
                </c:pt>
                <c:pt idx="116">
                  <c:v>23.26</c:v>
                </c:pt>
                <c:pt idx="117">
                  <c:v>22.42</c:v>
                </c:pt>
                <c:pt idx="118">
                  <c:v>22.42</c:v>
                </c:pt>
                <c:pt idx="119">
                  <c:v>21.46</c:v>
                </c:pt>
                <c:pt idx="120">
                  <c:v>22</c:v>
                </c:pt>
                <c:pt idx="121">
                  <c:v>21.48</c:v>
                </c:pt>
                <c:pt idx="122">
                  <c:v>21.27</c:v>
                </c:pt>
                <c:pt idx="123">
                  <c:v>20.75</c:v>
                </c:pt>
                <c:pt idx="124">
                  <c:v>20.97</c:v>
                </c:pt>
                <c:pt idx="125">
                  <c:v>21.06</c:v>
                </c:pt>
                <c:pt idx="126">
                  <c:v>20.96</c:v>
                </c:pt>
                <c:pt idx="127">
                  <c:v>20.61</c:v>
                </c:pt>
                <c:pt idx="128">
                  <c:v>20.45</c:v>
                </c:pt>
                <c:pt idx="129">
                  <c:v>20.47</c:v>
                </c:pt>
                <c:pt idx="130">
                  <c:v>20.86</c:v>
                </c:pt>
                <c:pt idx="131">
                  <c:v>20.68</c:v>
                </c:pt>
                <c:pt idx="132">
                  <c:v>20.399999999999999</c:v>
                </c:pt>
                <c:pt idx="133">
                  <c:v>19.86</c:v>
                </c:pt>
                <c:pt idx="134">
                  <c:v>19.260000000000002</c:v>
                </c:pt>
                <c:pt idx="135">
                  <c:v>19.260000000000002</c:v>
                </c:pt>
                <c:pt idx="136">
                  <c:v>19.28</c:v>
                </c:pt>
                <c:pt idx="137">
                  <c:v>18.989999999999998</c:v>
                </c:pt>
                <c:pt idx="138">
                  <c:v>18.940000000000001</c:v>
                </c:pt>
                <c:pt idx="139">
                  <c:v>19.98</c:v>
                </c:pt>
                <c:pt idx="140">
                  <c:v>19.68</c:v>
                </c:pt>
                <c:pt idx="141">
                  <c:v>19.95</c:v>
                </c:pt>
                <c:pt idx="142">
                  <c:v>20.059999999999999</c:v>
                </c:pt>
                <c:pt idx="143">
                  <c:v>20.7</c:v>
                </c:pt>
                <c:pt idx="144">
                  <c:v>20.350000000000001</c:v>
                </c:pt>
                <c:pt idx="145">
                  <c:v>20.93</c:v>
                </c:pt>
                <c:pt idx="146">
                  <c:v>20.92</c:v>
                </c:pt>
                <c:pt idx="147">
                  <c:v>20.91</c:v>
                </c:pt>
                <c:pt idx="148">
                  <c:v>19.670000000000002</c:v>
                </c:pt>
                <c:pt idx="149">
                  <c:v>19.329999999999998</c:v>
                </c:pt>
                <c:pt idx="150">
                  <c:v>17.52</c:v>
                </c:pt>
                <c:pt idx="151">
                  <c:v>17.27</c:v>
                </c:pt>
                <c:pt idx="152">
                  <c:v>17.690000000000001</c:v>
                </c:pt>
                <c:pt idx="153">
                  <c:v>17.440000000000001</c:v>
                </c:pt>
                <c:pt idx="154">
                  <c:v>17.71</c:v>
                </c:pt>
                <c:pt idx="155">
                  <c:v>18.440000000000001</c:v>
                </c:pt>
                <c:pt idx="156">
                  <c:v>18.14</c:v>
                </c:pt>
                <c:pt idx="157">
                  <c:v>17.809999999999999</c:v>
                </c:pt>
                <c:pt idx="158">
                  <c:v>17.38</c:v>
                </c:pt>
                <c:pt idx="159">
                  <c:v>17.46</c:v>
                </c:pt>
                <c:pt idx="160">
                  <c:v>17.13</c:v>
                </c:pt>
                <c:pt idx="161">
                  <c:v>16.95</c:v>
                </c:pt>
                <c:pt idx="162">
                  <c:v>17.309999999999999</c:v>
                </c:pt>
                <c:pt idx="163">
                  <c:v>17.579999999999998</c:v>
                </c:pt>
                <c:pt idx="164">
                  <c:v>17.399999999999999</c:v>
                </c:pt>
                <c:pt idx="165">
                  <c:v>17.28</c:v>
                </c:pt>
                <c:pt idx="166">
                  <c:v>17.399999999999999</c:v>
                </c:pt>
                <c:pt idx="167">
                  <c:v>17.23</c:v>
                </c:pt>
                <c:pt idx="168">
                  <c:v>17.32</c:v>
                </c:pt>
                <c:pt idx="169">
                  <c:v>17.559999999999999</c:v>
                </c:pt>
                <c:pt idx="170">
                  <c:v>17.46</c:v>
                </c:pt>
                <c:pt idx="171">
                  <c:v>17.579999999999998</c:v>
                </c:pt>
                <c:pt idx="172">
                  <c:v>17.350000000000001</c:v>
                </c:pt>
                <c:pt idx="173">
                  <c:v>17.690000000000001</c:v>
                </c:pt>
                <c:pt idx="174">
                  <c:v>17.93</c:v>
                </c:pt>
                <c:pt idx="175">
                  <c:v>18.05</c:v>
                </c:pt>
                <c:pt idx="176">
                  <c:v>18.07</c:v>
                </c:pt>
                <c:pt idx="177">
                  <c:v>18</c:v>
                </c:pt>
                <c:pt idx="178">
                  <c:v>18</c:v>
                </c:pt>
                <c:pt idx="179">
                  <c:v>18.13</c:v>
                </c:pt>
                <c:pt idx="180">
                  <c:v>17.96</c:v>
                </c:pt>
                <c:pt idx="181">
                  <c:v>18.3</c:v>
                </c:pt>
                <c:pt idx="182">
                  <c:v>18.079999999999998</c:v>
                </c:pt>
                <c:pt idx="183">
                  <c:v>18.03</c:v>
                </c:pt>
                <c:pt idx="184">
                  <c:v>17.8</c:v>
                </c:pt>
                <c:pt idx="185">
                  <c:v>18.12</c:v>
                </c:pt>
                <c:pt idx="186">
                  <c:v>18.37</c:v>
                </c:pt>
                <c:pt idx="187">
                  <c:v>18.489999999999998</c:v>
                </c:pt>
                <c:pt idx="188">
                  <c:v>18.14</c:v>
                </c:pt>
                <c:pt idx="189">
                  <c:v>17.78</c:v>
                </c:pt>
                <c:pt idx="190">
                  <c:v>17.77</c:v>
                </c:pt>
                <c:pt idx="191">
                  <c:v>17.59</c:v>
                </c:pt>
                <c:pt idx="192">
                  <c:v>17.64</c:v>
                </c:pt>
                <c:pt idx="193">
                  <c:v>17.34</c:v>
                </c:pt>
                <c:pt idx="194">
                  <c:v>17.18</c:v>
                </c:pt>
                <c:pt idx="195">
                  <c:v>17.22</c:v>
                </c:pt>
                <c:pt idx="196">
                  <c:v>16.98</c:v>
                </c:pt>
                <c:pt idx="197">
                  <c:v>17.07</c:v>
                </c:pt>
                <c:pt idx="198">
                  <c:v>16.84</c:v>
                </c:pt>
                <c:pt idx="199">
                  <c:v>16.84</c:v>
                </c:pt>
                <c:pt idx="200">
                  <c:v>16.63</c:v>
                </c:pt>
                <c:pt idx="201">
                  <c:v>16.55</c:v>
                </c:pt>
                <c:pt idx="202">
                  <c:v>16.68</c:v>
                </c:pt>
                <c:pt idx="203">
                  <c:v>16.84</c:v>
                </c:pt>
                <c:pt idx="204">
                  <c:v>17.489999999999998</c:v>
                </c:pt>
                <c:pt idx="205">
                  <c:v>17.13</c:v>
                </c:pt>
                <c:pt idx="206">
                  <c:v>17.09</c:v>
                </c:pt>
                <c:pt idx="207">
                  <c:v>17.2</c:v>
                </c:pt>
                <c:pt idx="208">
                  <c:v>17.21</c:v>
                </c:pt>
                <c:pt idx="209">
                  <c:v>17.23</c:v>
                </c:pt>
                <c:pt idx="210">
                  <c:v>17.79</c:v>
                </c:pt>
                <c:pt idx="211">
                  <c:v>18.13</c:v>
                </c:pt>
                <c:pt idx="212">
                  <c:v>17.52</c:v>
                </c:pt>
                <c:pt idx="213">
                  <c:v>17.97</c:v>
                </c:pt>
                <c:pt idx="214">
                  <c:v>17.84</c:v>
                </c:pt>
                <c:pt idx="215">
                  <c:v>17.670000000000002</c:v>
                </c:pt>
                <c:pt idx="216">
                  <c:v>17.489999999999998</c:v>
                </c:pt>
                <c:pt idx="217">
                  <c:v>18.149999999999999</c:v>
                </c:pt>
                <c:pt idx="218">
                  <c:v>17.78</c:v>
                </c:pt>
                <c:pt idx="219">
                  <c:v>18.04</c:v>
                </c:pt>
                <c:pt idx="220">
                  <c:v>18.02</c:v>
                </c:pt>
                <c:pt idx="221">
                  <c:v>17.760000000000002</c:v>
                </c:pt>
                <c:pt idx="222">
                  <c:v>18.059999999999999</c:v>
                </c:pt>
                <c:pt idx="223">
                  <c:v>17.68</c:v>
                </c:pt>
                <c:pt idx="224">
                  <c:v>17.46</c:v>
                </c:pt>
                <c:pt idx="225">
                  <c:v>17.25</c:v>
                </c:pt>
                <c:pt idx="226">
                  <c:v>17.510000000000002</c:v>
                </c:pt>
                <c:pt idx="227">
                  <c:v>17.739999999999998</c:v>
                </c:pt>
                <c:pt idx="228">
                  <c:v>17.86</c:v>
                </c:pt>
                <c:pt idx="229">
                  <c:v>17.73</c:v>
                </c:pt>
                <c:pt idx="230">
                  <c:v>18.39</c:v>
                </c:pt>
                <c:pt idx="231">
                  <c:v>18.45</c:v>
                </c:pt>
                <c:pt idx="232">
                  <c:v>18.12</c:v>
                </c:pt>
                <c:pt idx="233">
                  <c:v>18.670000000000002</c:v>
                </c:pt>
                <c:pt idx="234">
                  <c:v>18.309999999999999</c:v>
                </c:pt>
                <c:pt idx="235">
                  <c:v>18.489999999999998</c:v>
                </c:pt>
                <c:pt idx="236">
                  <c:v>18.29</c:v>
                </c:pt>
                <c:pt idx="237">
                  <c:v>18.149999999999999</c:v>
                </c:pt>
                <c:pt idx="238">
                  <c:v>18.079999999999998</c:v>
                </c:pt>
                <c:pt idx="239">
                  <c:v>18.309999999999999</c:v>
                </c:pt>
                <c:pt idx="240">
                  <c:v>18.21</c:v>
                </c:pt>
                <c:pt idx="241">
                  <c:v>18.239999999999998</c:v>
                </c:pt>
                <c:pt idx="242">
                  <c:v>18.239999999999998</c:v>
                </c:pt>
                <c:pt idx="243">
                  <c:v>18.329999999999998</c:v>
                </c:pt>
                <c:pt idx="244">
                  <c:v>18.18</c:v>
                </c:pt>
                <c:pt idx="245">
                  <c:v>18.07</c:v>
                </c:pt>
                <c:pt idx="246">
                  <c:v>17.649999999999999</c:v>
                </c:pt>
                <c:pt idx="247">
                  <c:v>17.43</c:v>
                </c:pt>
                <c:pt idx="248">
                  <c:v>17.670000000000002</c:v>
                </c:pt>
                <c:pt idx="249">
                  <c:v>17.45</c:v>
                </c:pt>
                <c:pt idx="250">
                  <c:v>17.87</c:v>
                </c:pt>
                <c:pt idx="251">
                  <c:v>17.420000000000002</c:v>
                </c:pt>
              </c:numCache>
            </c:numRef>
          </c:val>
          <c:extLst>
            <c:ext xmlns:c16="http://schemas.microsoft.com/office/drawing/2014/chart" uri="{C3380CC4-5D6E-409C-BE32-E72D297353CC}">
              <c16:uniqueId val="{00000000-5FFC-4871-BA08-7E345B81AEF0}"/>
            </c:ext>
          </c:extLst>
        </c:ser>
        <c:dLbls>
          <c:showLegendKey val="0"/>
          <c:showVal val="1"/>
          <c:showCatName val="0"/>
          <c:showSerName val="0"/>
          <c:showPercent val="0"/>
          <c:showBubbleSize val="0"/>
        </c:dLbls>
        <c:axId val="1324681471"/>
        <c:axId val="1033410255"/>
      </c:areaChart>
      <c:dateAx>
        <c:axId val="1324681471"/>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3410255"/>
        <c:crosses val="autoZero"/>
        <c:auto val="1"/>
        <c:lblOffset val="100"/>
        <c:baseTimeUnit val="days"/>
      </c:dateAx>
      <c:valAx>
        <c:axId val="103341025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681471"/>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ATEN valuation range ($ per share)</a:t>
            </a:r>
          </a:p>
        </rich>
      </tx>
    </title>
    <plotArea>
      <barChart>
        <barDir val="bar"/>
        <grouping val="stacked"/>
        <ser>
          <idx val="0"/>
          <order val="0"/>
          <tx>
            <strRef>
              <f>'Valuation Summary'!D13</f>
            </strRef>
          </tx>
          <spPr>
            <a:noFill xmlns:a="http://schemas.openxmlformats.org/drawingml/2006/main"/>
            <a:ln xmlns:a="http://schemas.openxmlformats.org/drawingml/2006/main">
              <a:noFill/>
              <a:prstDash val="solid"/>
            </a:ln>
          </spPr>
          <cat>
            <strRef>
              <f>'Valuation Summary'!$C$14:$C$19</f>
            </strRef>
          </cat>
          <val>
            <numRef>
              <f>'Valuation Summary'!$D$14:$D$19</f>
            </numRef>
          </val>
        </ser>
        <ser>
          <idx val="1"/>
          <order val="1"/>
          <tx>
            <strRef>
              <f>'Valuation Summary'!G13</f>
            </strRef>
          </tx>
          <spPr>
            <a:solidFill xmlns:a="http://schemas.openxmlformats.org/drawingml/2006/main">
              <a:srgbClr val="00336A"/>
            </a:solidFill>
            <a:ln xmlns:a="http://schemas.openxmlformats.org/drawingml/2006/main">
              <a:noFill/>
              <a:prstDash val="solid"/>
            </a:ln>
          </spPr>
          <cat>
            <strRef>
              <f>'Valuation Summary'!$C$14:$C$19</f>
            </strRef>
          </cat>
          <val>
            <numRef>
              <f>'Valuation Summary'!$G$14:$G$19</f>
            </numRef>
          </val>
        </ser>
        <gapWidth val="60"/>
        <overlap val="100"/>
        <axId val="10"/>
        <axId val="100"/>
      </barChart>
      <catAx>
        <axId val="10"/>
        <scaling>
          <orientation val="maxMin"/>
        </scaling>
        <delete val="0"/>
        <axPos val="l"/>
        <majorTickMark val="none"/>
        <minorTickMark val="none"/>
        <crossAx val="100"/>
        <lblOffset val="100"/>
      </catAx>
      <valAx>
        <axId val="100"/>
        <scaling>
          <orientation val="minMax"/>
          <min val="10"/>
        </scaling>
        <delete val="0"/>
        <axPos val="b"/>
        <numFmt formatCode="$#,##0" sourceLinked="0"/>
        <majorTickMark val="none"/>
        <minorTickMark val="none"/>
        <crossAx val="10"/>
      </valAx>
    </plotArea>
    <plotVisOnly val="1"/>
    <dispBlanksAs val="gap"/>
  </chart>
</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Relationships xmlns="http://schemas.openxmlformats.org/package/2006/relationships"><Relationship Type="http://schemas.openxmlformats.org/officeDocument/2006/relationships/chart" Target="../charts/chart2.xml" Id="rId1"/></Relationships>
</file>

<file path=xl/drawings/drawing1.xml><?xml version="1.0" encoding="utf-8"?>
<xdr:wsDr xmlns:xdr="http://schemas.openxmlformats.org/drawingml/2006/spreadsheetDrawing" xmlns:a="http://schemas.openxmlformats.org/drawingml/2006/main">
  <xdr:twoCellAnchor>
    <xdr:from>
      <xdr:col>8</xdr:col>
      <xdr:colOff>66675</xdr:colOff>
      <xdr:row>51</xdr:row>
      <xdr:rowOff>19050</xdr:rowOff>
    </xdr:from>
    <xdr:to>
      <xdr:col>23</xdr:col>
      <xdr:colOff>161925</xdr:colOff>
      <xdr:row>96</xdr:row>
      <xdr:rowOff>0</xdr:rowOff>
    </xdr:to>
    <xdr:sp macro="" textlink="">
      <xdr:nvSpPr>
        <xdr:cNvPr id="2" name="Rectangle 2">
          <a:extLst>
            <a:ext uri="{FF2B5EF4-FFF2-40B4-BE49-F238E27FC236}">
              <a16:creationId xmlns:a16="http://schemas.microsoft.com/office/drawing/2014/main" id="{872434AD-BD54-55A7-FB38-C003A2F17BF3}"/>
            </a:ext>
          </a:extLst>
        </xdr:cNvPr>
        <xdr:cNvSpPr/>
      </xdr:nvSpPr>
      <xdr:spPr>
        <a:xfrm>
          <a:off x="6448425" y="4924425"/>
          <a:ext cx="714375" cy="5076825"/>
        </a:xfrm>
        <a:prstGeom prst="rect">
          <a:avLst/>
        </a:prstGeom>
        <a:pattFill prst="pct50">
          <a:fgClr>
            <a:schemeClr val="tx1"/>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85725</xdr:colOff>
      <xdr:row>105</xdr:row>
      <xdr:rowOff>9525</xdr:rowOff>
    </xdr:from>
    <xdr:to>
      <xdr:col>23</xdr:col>
      <xdr:colOff>180975</xdr:colOff>
      <xdr:row>150</xdr:row>
      <xdr:rowOff>9525</xdr:rowOff>
    </xdr:to>
    <xdr:sp macro="" textlink="">
      <xdr:nvSpPr>
        <xdr:cNvPr id="6" name="Rectangle 5">
          <a:extLst>
            <a:ext uri="{FF2B5EF4-FFF2-40B4-BE49-F238E27FC236}">
              <a16:creationId xmlns:a16="http://schemas.microsoft.com/office/drawing/2014/main" id="{23D1C7C8-E658-4E0B-8F5E-9DDE0A6683B8}"/>
            </a:ext>
          </a:extLst>
        </xdr:cNvPr>
        <xdr:cNvSpPr/>
      </xdr:nvSpPr>
      <xdr:spPr>
        <a:xfrm>
          <a:off x="6467475" y="10401300"/>
          <a:ext cx="714375" cy="5162550"/>
        </a:xfrm>
        <a:prstGeom prst="rect">
          <a:avLst/>
        </a:prstGeom>
        <a:pattFill prst="pct50">
          <a:fgClr>
            <a:schemeClr val="tx1"/>
          </a:fgClr>
          <a:bgClr>
            <a:schemeClr val="bg1"/>
          </a:bgClr>
        </a:patt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709755</xdr:colOff>
      <xdr:row>6</xdr:row>
      <xdr:rowOff>14654</xdr:rowOff>
    </xdr:from>
    <xdr:to>
      <xdr:col>7</xdr:col>
      <xdr:colOff>8283</xdr:colOff>
      <xdr:row>29</xdr:row>
      <xdr:rowOff>132522</xdr:rowOff>
    </xdr:to>
    <xdr:cxnSp macro="">
      <xdr:nvCxnSpPr>
        <xdr:cNvPr id="5" name="Straight Connector 4">
          <a:extLst>
            <a:ext uri="{FF2B5EF4-FFF2-40B4-BE49-F238E27FC236}">
              <a16:creationId xmlns:a16="http://schemas.microsoft.com/office/drawing/2014/main" id="{E8485319-5B10-AD71-F525-6E14B7E1F6EF}"/>
            </a:ext>
          </a:extLst>
        </xdr:cNvPr>
        <xdr:cNvCxnSpPr/>
      </xdr:nvCxnSpPr>
      <xdr:spPr>
        <a:xfrm>
          <a:off x="3716342" y="867763"/>
          <a:ext cx="10832" cy="2801433"/>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368877</xdr:colOff>
      <xdr:row>128</xdr:row>
      <xdr:rowOff>10391</xdr:rowOff>
    </xdr:from>
    <xdr:to>
      <xdr:col>11</xdr:col>
      <xdr:colOff>260011</xdr:colOff>
      <xdr:row>168</xdr:row>
      <xdr:rowOff>109969</xdr:rowOff>
    </xdr:to>
    <xdr:pic>
      <xdr:nvPicPr>
        <xdr:cNvPr id="5" name="Picture 1">
          <a:extLst>
            <a:ext uri="{FF2B5EF4-FFF2-40B4-BE49-F238E27FC236}">
              <a16:creationId xmlns:a16="http://schemas.microsoft.com/office/drawing/2014/main" id="{66119770-1F7B-45F0-A956-A4839484780E}"/>
            </a:ext>
          </a:extLst>
        </xdr:cNvPr>
        <xdr:cNvPicPr>
          <a:picLocks noChangeAspect="1"/>
        </xdr:cNvPicPr>
      </xdr:nvPicPr>
      <xdr:blipFill>
        <a:blip xmlns:r="http://schemas.openxmlformats.org/officeDocument/2006/relationships" r:embed="rId1"/>
        <a:stretch>
          <a:fillRect/>
        </a:stretch>
      </xdr:blipFill>
      <xdr:spPr>
        <a:xfrm>
          <a:off x="368877" y="20826846"/>
          <a:ext cx="10853543" cy="6334123"/>
        </a:xfrm>
        <a:prstGeom prst="rect">
          <a:avLst/>
        </a:prstGeom>
      </xdr:spPr>
    </xdr:pic>
    <xdr:clientData/>
  </xdr:twoCellAnchor>
  <xdr:twoCellAnchor editAs="oneCell">
    <xdr:from>
      <xdr:col>13</xdr:col>
      <xdr:colOff>180975</xdr:colOff>
      <xdr:row>12</xdr:row>
      <xdr:rowOff>162562</xdr:rowOff>
    </xdr:from>
    <xdr:to>
      <xdr:col>24</xdr:col>
      <xdr:colOff>449164</xdr:colOff>
      <xdr:row>32</xdr:row>
      <xdr:rowOff>86435</xdr:rowOff>
    </xdr:to>
    <xdr:pic>
      <xdr:nvPicPr>
        <xdr:cNvPr id="3" name="Picture 2">
          <a:extLst>
            <a:ext uri="{FF2B5EF4-FFF2-40B4-BE49-F238E27FC236}">
              <a16:creationId xmlns:a16="http://schemas.microsoft.com/office/drawing/2014/main" id="{CA686F61-C59D-45C7-AED9-2D2F267328D9}"/>
            </a:ext>
          </a:extLst>
        </xdr:cNvPr>
        <xdr:cNvPicPr>
          <a:picLocks noChangeAspect="1"/>
        </xdr:cNvPicPr>
      </xdr:nvPicPr>
      <xdr:blipFill>
        <a:blip xmlns:r="http://schemas.openxmlformats.org/officeDocument/2006/relationships" r:embed="rId2"/>
        <a:stretch>
          <a:fillRect/>
        </a:stretch>
      </xdr:blipFill>
      <xdr:spPr>
        <a:xfrm>
          <a:off x="12096750" y="2153287"/>
          <a:ext cx="7497664" cy="35814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262972</xdr:colOff>
      <xdr:row>7</xdr:row>
      <xdr:rowOff>106430</xdr:rowOff>
    </xdr:from>
    <xdr:to>
      <xdr:col>19</xdr:col>
      <xdr:colOff>72472</xdr:colOff>
      <xdr:row>23</xdr:row>
      <xdr:rowOff>106430</xdr:rowOff>
    </xdr:to>
    <xdr:graphicFrame macro="">
      <xdr:nvGraphicFramePr>
        <xdr:cNvPr id="20" name="Chart 2">
          <a:extLst>
            <a:ext uri="{FF2B5EF4-FFF2-40B4-BE49-F238E27FC236}">
              <a16:creationId xmlns:a16="http://schemas.microsoft.com/office/drawing/2014/main" id="{CD9809C0-4235-CBDD-1278-783E7E00E4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wsDr xmlns="http://schemas.openxmlformats.org/drawingml/2006/spreadsheetDrawing">
  <oneCellAnchor>
    <from>
      <col>2</col>
      <colOff>0</colOff>
      <row>21</row>
      <rowOff>0</rowOff>
    </from>
    <ext cx="792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persons/person.xml><?xml version="1.0" encoding="utf-8"?>
<personList xmlns="http://schemas.microsoft.com/office/spreadsheetml/2018/threadedcomments" xmlns:x="http://schemas.openxmlformats.org/spreadsheetml/2006/main">
  <person displayName="Boyuan Zhang" id="{BCF4E197-113F-4C31-8A8E-0E44B90E2200}" userId="S::bz37@rice.edu::c2cbae62-219d-4dcc-90b1-689fc0292fc0" providerId="AD"/>
</personList>
</file>

<file path=xl/theme/theme1.xml><?xml version="1.0" encoding="utf-8"?>
<a:theme xmlns:a="http://schemas.openxmlformats.org/drawingml/2006/main" name="Sheets">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18" dT="2026-09-10T20:04:57.12" personId="{BCF4E197-113F-4C31-8A8E-0E44B90E2200}" id="{BE12E867-6A28-462B-A6DF-CA117DF4307E}">
    <text>The Microsoft relationship, which now represents approximately 37% of total revenue according to management commentary</text>
  </threadedComment>
  <threadedComment ref="O38" dT="2026-09-10T18:44:06.44" personId="{BCF4E197-113F-4C31-8A8E-0E44B90E2200}" id="{5F468F6E-56B5-43A0-8AD3-9AB7A7173968}">
    <text>Okay. I guess, trying to just put a button on this line of questioning. It looks like service provider, excluding Microsoft, declined in 2025, and I think you're talking about it stabilizing. If we're trying to think about service provider excluding Microsoft in 2026 we should be thinking about that as similar to the 2025 level. Is that what you mean by normalizing? I just want to make sure I'm interpreting that commentary correctly.
Dhrupad Trivedi
President and CEO
0:34:42
Oh. Yeah. I think very good question. I think so. I would say, expecting it to be slightly better than 2025 level. The puts and takes are the North America segment we see as improving. Japan is equal or slightly worse, and Europe is neutral. Between those factors, overall, we expect it to be slightly better versus 2025.</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AC71BE4-4AF9-48C0-9687-CD45BAE99FAD}">
  <we:reference id="WA200009404" version="1.0.0.8" store="Omex" storeType="OMEX"/>
  <we:alternateReferences>
    <we:reference id="WA200009404" version="1.0.0.8" store="WA200009404" storeType="OMEX"/>
  </we:alternateReferences>
  <we:properties>
    <we:property name="claude.fileId" value="&quot;fb1f2c73-a66f-46ac-95a4-423ceacfee5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3" Type="http://schemas.openxmlformats.org/officeDocument/2006/relationships/hyperlink" Target="https://www.bamsec.com/filing/158080826000032/1?table=14" TargetMode="External"/><Relationship Id="rId18" Type="http://schemas.openxmlformats.org/officeDocument/2006/relationships/hyperlink" Target="https://www.bamsec.com/filing/158080826000045/1?table=14" TargetMode="External"/><Relationship Id="rId26" Type="http://schemas.openxmlformats.org/officeDocument/2006/relationships/hyperlink" Target="https://www.bamsec.com/filing/158080825000043/1?table=26" TargetMode="External"/><Relationship Id="rId3" Type="http://schemas.openxmlformats.org/officeDocument/2006/relationships/hyperlink" Target="https://www.bamsec.com/filing/158080823000214/1?table=14" TargetMode="External"/><Relationship Id="rId21" Type="http://schemas.openxmlformats.org/officeDocument/2006/relationships/hyperlink" Target="https://www.bamsec.com/filing/158080826000032/1?table=13" TargetMode="External"/><Relationship Id="rId34" Type="http://schemas.openxmlformats.org/officeDocument/2006/relationships/comments" Target="../comments4.xml"/><Relationship Id="rId7" Type="http://schemas.openxmlformats.org/officeDocument/2006/relationships/hyperlink" Target="https://www.bamsec.com/filing/158080824000120/1?table=14" TargetMode="External"/><Relationship Id="rId12" Type="http://schemas.openxmlformats.org/officeDocument/2006/relationships/hyperlink" Target="https://www.bamsec.com/filing/158080826000014/1?table=14" TargetMode="External"/><Relationship Id="rId17" Type="http://schemas.openxmlformats.org/officeDocument/2006/relationships/hyperlink" Target="https://www.bamsec.com/filing/158080826000032/1?table=14" TargetMode="External"/><Relationship Id="rId25" Type="http://schemas.openxmlformats.org/officeDocument/2006/relationships/hyperlink" Target="https://www.bamsec.com/filing/158080826000014/1?table=22" TargetMode="External"/><Relationship Id="rId33" Type="http://schemas.openxmlformats.org/officeDocument/2006/relationships/vmlDrawing" Target="../drawings/vmlDrawing4.vml"/><Relationship Id="rId2" Type="http://schemas.openxmlformats.org/officeDocument/2006/relationships/hyperlink" Target="https://www.bamsec.com/filing/158080823000142/1?table=14" TargetMode="External"/><Relationship Id="rId16" Type="http://schemas.openxmlformats.org/officeDocument/2006/relationships/hyperlink" Target="https://www.bamsec.com/filing/158080826000014/1?table=14" TargetMode="External"/><Relationship Id="rId20" Type="http://schemas.openxmlformats.org/officeDocument/2006/relationships/hyperlink" Target="https://www.bamsec.com/filing/158080826000045/1?table=13" TargetMode="External"/><Relationship Id="rId29" Type="http://schemas.openxmlformats.org/officeDocument/2006/relationships/hyperlink" Target="https://www.bamsec.com/filing/158080826000014/1?table=26" TargetMode="External"/><Relationship Id="rId1" Type="http://schemas.openxmlformats.org/officeDocument/2006/relationships/hyperlink" Target="https://www.bamsec.com/filing/158080823000092/1?table=14" TargetMode="External"/><Relationship Id="rId6" Type="http://schemas.openxmlformats.org/officeDocument/2006/relationships/hyperlink" Target="https://www.bamsec.com/filing/158080824000105/1?table=14" TargetMode="External"/><Relationship Id="rId11" Type="http://schemas.openxmlformats.org/officeDocument/2006/relationships/hyperlink" Target="https://www.bamsec.com/filing/158080825000111/1?table=14" TargetMode="External"/><Relationship Id="rId24" Type="http://schemas.openxmlformats.org/officeDocument/2006/relationships/hyperlink" Target="https://www.bamsec.com/filing/158080825000043/1?table=22" TargetMode="External"/><Relationship Id="rId32" Type="http://schemas.openxmlformats.org/officeDocument/2006/relationships/drawing" Target="../drawings/drawing1.xml"/><Relationship Id="rId5" Type="http://schemas.openxmlformats.org/officeDocument/2006/relationships/hyperlink" Target="https://www.bamsec.com/filing/158080824000077/1?table=14" TargetMode="External"/><Relationship Id="rId15" Type="http://schemas.openxmlformats.org/officeDocument/2006/relationships/hyperlink" Target="https://www.bamsec.com/filing/158080825000111/1?table=14" TargetMode="External"/><Relationship Id="rId23" Type="http://schemas.openxmlformats.org/officeDocument/2006/relationships/hyperlink" Target="https://www.bamsec.com/filing/158080824000049/1?table=21" TargetMode="External"/><Relationship Id="rId28" Type="http://schemas.openxmlformats.org/officeDocument/2006/relationships/hyperlink" Target="https://www.bamsec.com/filing/158080826000014/1?table=26" TargetMode="External"/><Relationship Id="rId10" Type="http://schemas.openxmlformats.org/officeDocument/2006/relationships/hyperlink" Target="https://www.bamsec.com/filing/158080825000099/1?table=14" TargetMode="External"/><Relationship Id="rId19" Type="http://schemas.openxmlformats.org/officeDocument/2006/relationships/hyperlink" Target="https://www.bamsec.com/filing/158080826000014/1?table=22" TargetMode="External"/><Relationship Id="rId31" Type="http://schemas.openxmlformats.org/officeDocument/2006/relationships/printerSettings" Target="../printerSettings/printerSettings2.bin"/><Relationship Id="rId4" Type="http://schemas.openxmlformats.org/officeDocument/2006/relationships/hyperlink" Target="https://www.bamsec.com/filing/158080824000049/1?table=13" TargetMode="External"/><Relationship Id="rId9" Type="http://schemas.openxmlformats.org/officeDocument/2006/relationships/hyperlink" Target="https://www.bamsec.com/filing/158080825000075/1?table=14" TargetMode="External"/><Relationship Id="rId14" Type="http://schemas.openxmlformats.org/officeDocument/2006/relationships/hyperlink" Target="https://www.bamsec.com/filing/158080826000045/1?table=14" TargetMode="External"/><Relationship Id="rId22" Type="http://schemas.openxmlformats.org/officeDocument/2006/relationships/hyperlink" Target="https://www.bamsec.com/filing/158080825000111/1?table=13" TargetMode="External"/><Relationship Id="rId27" Type="http://schemas.openxmlformats.org/officeDocument/2006/relationships/hyperlink" Target="https://www.bamsec.com/filing/158080826000014/1?table=26" TargetMode="External"/><Relationship Id="rId30" Type="http://schemas.openxmlformats.org/officeDocument/2006/relationships/hyperlink" Target="https://www.bamsec.com/filing/158080826000032/1?table=20" TargetMode="External"/><Relationship Id="rId8" Type="http://schemas.openxmlformats.org/officeDocument/2006/relationships/hyperlink" Target="https://www.bamsec.com/filing/158080825000043/1?table=14"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CBD3D-6B5F-4120-A86D-DA07B0C6EAAC}">
  <dimension ref="A1:B1"/>
  <sheetViews>
    <sheetView workbookViewId="0"/>
  </sheetViews>
  <sheetFormatPr defaultColWidth="8.875" defaultRowHeight="14.25" x14ac:dyDescent="0.2"/>
  <sheetData>
    <row r="1" spans="1:2" x14ac:dyDescent="0.2">
      <c r="B1" t="s">
        <v>0</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0198-6CD2-4E92-B6B7-CE535A8A27CE}">
  <sheetPr>
    <tabColor theme="9"/>
  </sheetPr>
  <dimension ref="B2:D10"/>
  <sheetViews>
    <sheetView showGridLines="0" topLeftCell="A2" workbookViewId="0">
      <selection activeCell="B3" sqref="B3"/>
    </sheetView>
  </sheetViews>
  <sheetFormatPr defaultColWidth="9" defaultRowHeight="11.25" x14ac:dyDescent="0.2"/>
  <cols>
    <col min="1" max="16384" width="9" style="5"/>
  </cols>
  <sheetData>
    <row r="2" spans="2:4" ht="13.5" x14ac:dyDescent="0.35">
      <c r="B2" s="216" t="s">
        <v>1</v>
      </c>
      <c r="C2" s="205"/>
      <c r="D2" s="205"/>
    </row>
    <row r="3" spans="2:4" ht="4.3499999999999996" customHeight="1" x14ac:dyDescent="0.2"/>
    <row r="4" spans="2:4" x14ac:dyDescent="0.2">
      <c r="B4" s="206" t="s">
        <v>2</v>
      </c>
      <c r="C4" s="207"/>
      <c r="D4" s="208"/>
    </row>
    <row r="5" spans="2:4" x14ac:dyDescent="0.2">
      <c r="B5" s="209" t="s">
        <v>3</v>
      </c>
      <c r="C5" s="210"/>
      <c r="D5" s="211"/>
    </row>
    <row r="6" spans="2:4" x14ac:dyDescent="0.2">
      <c r="B6" s="212" t="s">
        <v>4</v>
      </c>
      <c r="C6" s="210"/>
      <c r="D6" s="211"/>
    </row>
    <row r="7" spans="2:4" x14ac:dyDescent="0.2">
      <c r="B7" s="213" t="s">
        <v>5</v>
      </c>
      <c r="C7" s="214"/>
      <c r="D7" s="215"/>
    </row>
    <row r="10" spans="2:4" x14ac:dyDescent="0.2">
      <c r="B10" s="16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7B232-807C-4110-9717-47044142CDDE}">
  <sheetPr>
    <tabColor theme="2"/>
  </sheetPr>
  <dimension ref="A2:AC201"/>
  <sheetViews>
    <sheetView zoomScale="125" zoomScaleNormal="100" workbookViewId="0">
      <pane xSplit="4" ySplit="21" topLeftCell="E22" activePane="bottomRight" state="frozen"/>
      <selection pane="topRight" activeCell="E1" sqref="E1"/>
      <selection pane="bottomLeft" activeCell="A22" sqref="A22"/>
      <selection pane="bottomRight" activeCell="I18" sqref="I18"/>
    </sheetView>
  </sheetViews>
  <sheetFormatPr defaultColWidth="10.625" defaultRowHeight="12.6" customHeight="1" x14ac:dyDescent="0.2"/>
  <cols>
    <col min="1" max="1" width="4.625" style="5" customWidth="1"/>
    <col min="2" max="2" width="10.625" style="8"/>
    <col min="3" max="3" width="14" style="5" customWidth="1"/>
    <col min="4" max="4" width="10.625" style="19"/>
    <col min="5" max="5" width="2.625" style="5" customWidth="1"/>
    <col min="6" max="6" width="10.625" style="8"/>
    <col min="7" max="8" width="10.625" style="5"/>
    <col min="9" max="9" width="20.625" style="5" customWidth="1"/>
    <col min="10" max="16384" width="10.625" style="5"/>
  </cols>
  <sheetData>
    <row r="2" spans="1:26" ht="12.6" customHeight="1" x14ac:dyDescent="0.2">
      <c r="B2" s="41" t="s">
        <v>6</v>
      </c>
      <c r="C2" s="42"/>
      <c r="D2" s="43"/>
      <c r="E2" s="42"/>
      <c r="F2" s="44"/>
      <c r="G2" s="42"/>
      <c r="H2" s="42"/>
      <c r="I2" s="42"/>
      <c r="J2" s="42"/>
      <c r="K2" s="42"/>
      <c r="L2" s="42"/>
      <c r="M2" s="42"/>
      <c r="N2" s="42"/>
      <c r="O2" s="42"/>
      <c r="P2" s="42"/>
      <c r="Q2" s="42"/>
      <c r="R2" s="42"/>
      <c r="S2" s="42"/>
      <c r="T2" s="42"/>
      <c r="U2" s="42"/>
      <c r="V2" s="42"/>
      <c r="W2" s="42"/>
      <c r="X2" s="42"/>
      <c r="Y2" s="42"/>
      <c r="Z2" s="42"/>
    </row>
    <row r="3" spans="1:26" ht="4.3499999999999996" customHeight="1" x14ac:dyDescent="0.2"/>
    <row r="4" spans="1:26" ht="12.6" customHeight="1" x14ac:dyDescent="0.2">
      <c r="A4" s="97" t="s">
        <v>7</v>
      </c>
      <c r="B4" s="9" t="s">
        <v>8</v>
      </c>
    </row>
    <row r="5" spans="1:26" ht="12.6" customHeight="1" x14ac:dyDescent="0.2">
      <c r="B5" s="46" t="s">
        <v>9</v>
      </c>
      <c r="D5" s="605">
        <f ca="1">TODAY()</f>
        <v>46293</v>
      </c>
      <c r="E5" s="606"/>
      <c r="F5" s="607"/>
    </row>
    <row r="6" spans="1:26" ht="12.6" customHeight="1" x14ac:dyDescent="0.2">
      <c r="B6" s="46" t="s">
        <v>10</v>
      </c>
      <c r="D6" s="599" t="s">
        <v>11</v>
      </c>
      <c r="E6" s="600"/>
      <c r="F6" s="601"/>
    </row>
    <row r="7" spans="1:26" ht="12.6" customHeight="1" x14ac:dyDescent="0.2">
      <c r="B7" s="46" t="s">
        <v>12</v>
      </c>
      <c r="D7" s="599" t="s">
        <v>13</v>
      </c>
      <c r="E7" s="600"/>
      <c r="F7" s="601"/>
    </row>
    <row r="8" spans="1:26" ht="12.6" customHeight="1" x14ac:dyDescent="0.2">
      <c r="B8" s="46" t="s">
        <v>14</v>
      </c>
      <c r="D8" s="596">
        <v>46387</v>
      </c>
      <c r="E8" s="597"/>
      <c r="F8" s="598"/>
    </row>
    <row r="9" spans="1:26" ht="12.6" customHeight="1" x14ac:dyDescent="0.2">
      <c r="B9" s="45" t="s">
        <v>15</v>
      </c>
      <c r="D9" s="608">
        <v>46275</v>
      </c>
      <c r="E9" s="609"/>
      <c r="F9" s="610"/>
      <c r="G9" s="204"/>
    </row>
    <row r="10" spans="1:26" ht="12.6" customHeight="1" x14ac:dyDescent="0.2">
      <c r="B10" s="46" t="s">
        <v>16</v>
      </c>
      <c r="D10" s="602">
        <v>24.39</v>
      </c>
      <c r="E10" s="603"/>
      <c r="F10" s="604"/>
      <c r="G10" s="202"/>
    </row>
    <row r="11" spans="1:26" ht="12.6" customHeight="1" x14ac:dyDescent="0.2">
      <c r="B11" s="46"/>
      <c r="D11" s="169"/>
      <c r="E11" s="169"/>
      <c r="F11" s="169"/>
      <c r="G11" s="53"/>
    </row>
    <row r="12" spans="1:26" ht="12.6" customHeight="1" x14ac:dyDescent="0.2">
      <c r="B12" s="7" t="s">
        <v>17</v>
      </c>
      <c r="C12" s="6"/>
      <c r="D12" s="17"/>
      <c r="E12" s="6"/>
      <c r="F12" s="11"/>
      <c r="G12" s="6"/>
      <c r="H12" s="6"/>
      <c r="I12" s="6"/>
      <c r="J12" s="6"/>
      <c r="K12" s="6"/>
      <c r="L12" s="6"/>
      <c r="M12" s="6"/>
      <c r="N12" s="6"/>
      <c r="O12" s="6"/>
      <c r="P12" s="6"/>
      <c r="Q12" s="6"/>
      <c r="R12" s="6"/>
      <c r="S12" s="6"/>
      <c r="T12" s="6"/>
      <c r="U12" s="6"/>
      <c r="V12" s="6"/>
      <c r="W12" s="6"/>
      <c r="X12" s="6"/>
      <c r="Y12" s="6"/>
      <c r="Z12" s="6"/>
    </row>
    <row r="13" spans="1:26" ht="12.6" customHeight="1" thickBot="1" x14ac:dyDescent="0.25">
      <c r="B13" s="12"/>
      <c r="C13" s="13"/>
      <c r="D13" s="18"/>
      <c r="E13" s="13"/>
      <c r="F13" s="14"/>
      <c r="G13" s="13"/>
      <c r="H13" s="13"/>
      <c r="I13" s="13"/>
      <c r="J13" s="13"/>
      <c r="K13" s="13"/>
      <c r="L13" s="13"/>
      <c r="M13" s="13"/>
      <c r="N13" s="13"/>
      <c r="O13" s="13"/>
      <c r="P13" s="13"/>
      <c r="Q13" s="13"/>
      <c r="R13" s="13"/>
      <c r="S13" s="13"/>
      <c r="T13" s="13"/>
      <c r="U13" s="13"/>
      <c r="V13" s="13"/>
      <c r="W13" s="13"/>
      <c r="X13" s="13"/>
      <c r="Y13" s="13"/>
      <c r="Z13" s="13"/>
    </row>
    <row r="14" spans="1:26" ht="12.6" customHeight="1" thickBot="1" x14ac:dyDescent="0.4">
      <c r="B14" s="15" t="s">
        <v>18</v>
      </c>
      <c r="C14" s="13"/>
      <c r="D14" s="198">
        <v>1</v>
      </c>
      <c r="E14" s="16"/>
      <c r="F14" s="14"/>
      <c r="G14" s="13"/>
      <c r="H14" s="13"/>
      <c r="I14" s="13"/>
      <c r="J14" s="224" t="s">
        <v>19</v>
      </c>
      <c r="K14" s="225"/>
      <c r="L14" s="225"/>
      <c r="M14" s="225"/>
      <c r="N14" s="225"/>
      <c r="O14" s="225"/>
      <c r="P14" s="225"/>
      <c r="Q14" s="225"/>
      <c r="R14" s="225"/>
      <c r="S14" s="225"/>
      <c r="T14" s="225"/>
      <c r="U14" s="13"/>
      <c r="V14" s="13"/>
      <c r="W14" s="13"/>
      <c r="X14" s="13"/>
      <c r="Y14" s="13"/>
      <c r="Z14" s="13"/>
    </row>
    <row r="15" spans="1:26" ht="4.3499999999999996" customHeight="1" x14ac:dyDescent="0.2">
      <c r="B15" s="12"/>
      <c r="C15" s="13"/>
      <c r="D15" s="18">
        <v>2</v>
      </c>
      <c r="E15" s="13"/>
      <c r="F15" s="14"/>
      <c r="G15" s="13"/>
      <c r="H15" s="13"/>
      <c r="I15" s="13"/>
      <c r="J15" s="226"/>
      <c r="K15" s="226"/>
      <c r="L15" s="226"/>
      <c r="M15" s="226"/>
      <c r="N15" s="226"/>
      <c r="O15" s="226"/>
      <c r="P15" s="226"/>
      <c r="Q15" s="226"/>
      <c r="R15" s="226"/>
      <c r="S15" s="226"/>
      <c r="T15" s="226"/>
      <c r="U15" s="13"/>
      <c r="V15" s="13"/>
      <c r="W15" s="13"/>
      <c r="X15" s="13"/>
      <c r="Y15" s="13"/>
      <c r="Z15" s="13"/>
    </row>
    <row r="16" spans="1:26" ht="12.6" customHeight="1" x14ac:dyDescent="0.2">
      <c r="B16" s="15" t="s">
        <v>20</v>
      </c>
      <c r="C16" s="13"/>
      <c r="D16" s="450">
        <v>0</v>
      </c>
      <c r="E16" s="53" t="s">
        <v>21</v>
      </c>
      <c r="F16" s="54"/>
      <c r="G16"/>
      <c r="H16" s="13"/>
      <c r="I16" s="13"/>
      <c r="J16" s="226"/>
      <c r="K16" s="226"/>
      <c r="L16" s="226"/>
      <c r="M16" s="226"/>
      <c r="N16" s="226"/>
      <c r="O16" s="226"/>
      <c r="P16" s="226"/>
      <c r="Q16" s="226"/>
      <c r="R16" s="226"/>
      <c r="S16" s="226"/>
      <c r="T16" s="226"/>
      <c r="U16" s="13"/>
      <c r="V16" s="13"/>
      <c r="W16" s="13"/>
      <c r="X16" s="13"/>
      <c r="Y16" s="13"/>
      <c r="Z16" s="13"/>
    </row>
    <row r="17" spans="1:26" ht="4.3499999999999996" customHeight="1" x14ac:dyDescent="0.2">
      <c r="B17" s="15"/>
      <c r="C17" s="13"/>
      <c r="D17"/>
      <c r="E17" s="53"/>
      <c r="F17" s="54"/>
      <c r="G17"/>
      <c r="H17" s="13"/>
      <c r="I17" s="13"/>
      <c r="J17" s="226"/>
      <c r="K17" s="226"/>
      <c r="L17" s="226"/>
      <c r="M17" s="226"/>
      <c r="N17" s="226"/>
      <c r="O17" s="226"/>
      <c r="P17" s="226"/>
      <c r="Q17" s="226"/>
      <c r="R17" s="226"/>
      <c r="S17" s="226"/>
      <c r="T17" s="226"/>
      <c r="U17" s="13"/>
      <c r="V17" s="13"/>
      <c r="W17" s="13"/>
      <c r="X17" s="13"/>
      <c r="Y17" s="13"/>
      <c r="Z17" s="13"/>
    </row>
    <row r="18" spans="1:26" ht="12.6" customHeight="1" x14ac:dyDescent="0.2">
      <c r="G18"/>
      <c r="H18" s="13"/>
      <c r="I18" s="13"/>
      <c r="J18" s="226"/>
      <c r="K18" s="226"/>
      <c r="L18" s="226"/>
      <c r="M18" s="226"/>
      <c r="N18" s="226"/>
      <c r="O18" s="226"/>
      <c r="P18" s="226"/>
      <c r="Q18" s="226"/>
      <c r="R18" s="226"/>
      <c r="S18" s="226"/>
      <c r="T18" s="226"/>
      <c r="U18" s="13"/>
      <c r="V18" s="13"/>
      <c r="W18" s="13"/>
      <c r="X18" s="13"/>
      <c r="Y18" s="13"/>
      <c r="Z18" s="13"/>
    </row>
    <row r="19" spans="1:26" ht="12.6" customHeight="1" x14ac:dyDescent="0.2">
      <c r="A19" s="97" t="s">
        <v>7</v>
      </c>
      <c r="B19" s="9" t="s">
        <v>22</v>
      </c>
      <c r="F19" s="20" t="str">
        <f ca="1">IF(F20=$D$20,"Active","")</f>
        <v>Active</v>
      </c>
      <c r="G19" s="20" t="str">
        <f ca="1">IF(G20=$D$20,"Active","")</f>
        <v/>
      </c>
      <c r="H19" s="20" t="str">
        <f ca="1">IF(H20=$D$20,"Active","")</f>
        <v/>
      </c>
      <c r="I19" s="8"/>
      <c r="J19" s="227"/>
      <c r="K19" s="227"/>
      <c r="L19" s="226"/>
      <c r="M19" s="226"/>
      <c r="N19" s="226"/>
      <c r="O19" s="226"/>
      <c r="P19" s="226"/>
      <c r="Q19" s="226"/>
      <c r="R19" s="226"/>
      <c r="S19" s="226"/>
      <c r="T19" s="226"/>
    </row>
    <row r="20" spans="1:26" ht="12.6" customHeight="1" x14ac:dyDescent="0.2">
      <c r="B20" s="8" t="s">
        <v>23</v>
      </c>
      <c r="D20" s="451">
        <f ca="1">OFFSET(E20,0,$D$14)</f>
        <v>1</v>
      </c>
      <c r="F20" s="452">
        <v>1</v>
      </c>
      <c r="G20" s="452">
        <f>F20+1</f>
        <v>2</v>
      </c>
      <c r="H20" s="452">
        <f>G20+1</f>
        <v>3</v>
      </c>
      <c r="I20" s="10"/>
      <c r="J20" s="228"/>
      <c r="K20" s="228"/>
      <c r="L20" s="228"/>
      <c r="M20" s="228"/>
      <c r="N20" s="228"/>
      <c r="O20" s="228"/>
      <c r="P20" s="228"/>
      <c r="Q20" s="228"/>
      <c r="R20" s="226"/>
      <c r="S20" s="226"/>
      <c r="T20" s="226"/>
    </row>
    <row r="21" spans="1:26" ht="24.95" customHeight="1" x14ac:dyDescent="0.2">
      <c r="B21" s="8" t="s">
        <v>24</v>
      </c>
      <c r="D21" s="451" t="str">
        <f ca="1">OFFSET(E21,0,$D$14)</f>
        <v>Base</v>
      </c>
      <c r="F21" s="452" t="s">
        <v>25</v>
      </c>
      <c r="G21" s="452" t="s">
        <v>26</v>
      </c>
      <c r="H21" s="452" t="s">
        <v>27</v>
      </c>
      <c r="J21" s="226"/>
      <c r="K21" s="226"/>
      <c r="L21" s="226"/>
      <c r="M21" s="226"/>
      <c r="N21" s="226"/>
      <c r="O21" s="226"/>
      <c r="P21" s="226"/>
      <c r="Q21" s="226"/>
      <c r="R21" s="226"/>
      <c r="S21" s="226"/>
      <c r="T21" s="226"/>
    </row>
    <row r="22" spans="1:26" ht="12.6" customHeight="1" x14ac:dyDescent="0.2">
      <c r="G22" s="8"/>
      <c r="H22" s="8"/>
      <c r="J22" s="226"/>
      <c r="K22" s="226"/>
      <c r="L22" s="226"/>
      <c r="M22" s="226"/>
      <c r="N22" s="226"/>
      <c r="O22" s="226"/>
      <c r="P22" s="226"/>
      <c r="Q22" s="226"/>
      <c r="R22" s="226"/>
      <c r="S22" s="226"/>
      <c r="T22" s="226"/>
    </row>
    <row r="23" spans="1:26" ht="12.6" customHeight="1" x14ac:dyDescent="0.2">
      <c r="A23" s="97" t="s">
        <v>7</v>
      </c>
      <c r="B23" s="9" t="s">
        <v>28</v>
      </c>
      <c r="G23" s="8"/>
      <c r="H23" s="8"/>
      <c r="J23" s="226"/>
      <c r="K23" s="226"/>
      <c r="L23" s="226"/>
      <c r="M23" s="226"/>
      <c r="N23" s="226"/>
      <c r="O23" s="226"/>
      <c r="P23" s="226"/>
      <c r="Q23" s="226"/>
      <c r="R23" s="226"/>
      <c r="S23" s="226"/>
      <c r="T23" s="226"/>
    </row>
    <row r="24" spans="1:26" ht="4.3499999999999996" customHeight="1" x14ac:dyDescent="0.2">
      <c r="G24" s="8"/>
      <c r="H24" s="8"/>
      <c r="J24" s="226"/>
      <c r="K24" s="226"/>
      <c r="L24" s="226"/>
      <c r="M24" s="226"/>
      <c r="N24" s="226"/>
      <c r="O24" s="226"/>
      <c r="P24" s="226"/>
      <c r="Q24" s="226"/>
      <c r="R24" s="226"/>
      <c r="S24" s="226"/>
      <c r="T24" s="226"/>
    </row>
    <row r="25" spans="1:26" ht="12.6" customHeight="1" x14ac:dyDescent="0.2">
      <c r="B25" s="8" t="s">
        <v>29</v>
      </c>
      <c r="D25" s="453">
        <f ca="1">OFFSET(E25,0,$D$14)</f>
        <v>365</v>
      </c>
      <c r="F25" s="454">
        <v>365</v>
      </c>
      <c r="G25" s="454">
        <v>365</v>
      </c>
      <c r="H25" s="454">
        <v>365</v>
      </c>
      <c r="J25" s="226"/>
      <c r="K25" s="226"/>
      <c r="L25" s="226"/>
      <c r="M25" s="226"/>
      <c r="N25" s="226"/>
      <c r="O25" s="226"/>
      <c r="P25" s="226"/>
      <c r="Q25" s="226"/>
      <c r="R25" s="226"/>
      <c r="S25" s="226"/>
      <c r="T25" s="226"/>
    </row>
    <row r="26" spans="1:26" ht="12.6" customHeight="1" x14ac:dyDescent="0.2">
      <c r="B26" s="8" t="s">
        <v>30</v>
      </c>
      <c r="D26" s="455">
        <f ca="1">OFFSET(E26,0,$D$14)</f>
        <v>46022</v>
      </c>
      <c r="F26" s="456">
        <v>46022</v>
      </c>
      <c r="G26" s="456">
        <v>46022</v>
      </c>
      <c r="H26" s="456">
        <v>46022</v>
      </c>
      <c r="J26" s="226"/>
      <c r="K26" s="226"/>
      <c r="L26" s="226"/>
      <c r="M26" s="226"/>
      <c r="N26" s="226"/>
      <c r="O26" s="226"/>
      <c r="P26" s="226"/>
      <c r="Q26" s="226"/>
      <c r="R26" s="226"/>
      <c r="S26" s="226"/>
      <c r="T26" s="226"/>
    </row>
    <row r="27" spans="1:26" ht="12.6" customHeight="1" x14ac:dyDescent="0.2">
      <c r="B27" s="8" t="s">
        <v>31</v>
      </c>
      <c r="D27" s="455">
        <f ca="1">OFFSET(E27,0,$D$14)</f>
        <v>46203</v>
      </c>
      <c r="F27" s="456">
        <v>46203</v>
      </c>
      <c r="G27" s="456">
        <v>46203</v>
      </c>
      <c r="H27" s="456">
        <v>46203</v>
      </c>
      <c r="J27" s="226"/>
      <c r="K27" s="226"/>
      <c r="L27" s="226"/>
      <c r="M27" s="226"/>
      <c r="N27" s="226"/>
      <c r="O27" s="226"/>
      <c r="P27" s="226"/>
      <c r="Q27" s="226"/>
      <c r="R27" s="226"/>
      <c r="S27" s="226"/>
      <c r="T27" s="226"/>
    </row>
    <row r="28" spans="1:26" ht="12.6" customHeight="1" x14ac:dyDescent="0.2">
      <c r="B28" s="8" t="s">
        <v>32</v>
      </c>
      <c r="D28" s="267">
        <f ca="1">OFFSET(E28,0,$D$14)</f>
        <v>46387</v>
      </c>
      <c r="E28" s="46"/>
      <c r="F28" s="268">
        <f>EOMONTH(F27,6)</f>
        <v>46387</v>
      </c>
      <c r="G28" s="268">
        <f>EOMONTH(G27,6)</f>
        <v>46387</v>
      </c>
      <c r="H28" s="268">
        <f>EOMONTH(H27,6)</f>
        <v>46387</v>
      </c>
      <c r="J28" s="226"/>
      <c r="K28" s="226"/>
      <c r="L28" s="226"/>
      <c r="M28" s="226"/>
      <c r="N28" s="226"/>
      <c r="O28" s="226"/>
      <c r="P28" s="226"/>
      <c r="Q28" s="226"/>
      <c r="R28" s="226"/>
      <c r="S28" s="226"/>
      <c r="T28" s="226"/>
    </row>
    <row r="29" spans="1:26" ht="12.6" customHeight="1" x14ac:dyDescent="0.2">
      <c r="B29" s="8" t="s">
        <v>33</v>
      </c>
      <c r="D29" s="222">
        <f t="shared" ref="D29" ca="1" si="0">OFFSET(E29,0,$D$14)</f>
        <v>0.30684931506849317</v>
      </c>
      <c r="E29" s="220"/>
      <c r="F29" s="221">
        <f>YEARFRAC($D$9,F28,1)</f>
        <v>0.30684931506849317</v>
      </c>
      <c r="G29" s="221">
        <f t="shared" ref="G29:H29" si="1">YEARFRAC($D$9,G28,1)</f>
        <v>0.30684931506849317</v>
      </c>
      <c r="H29" s="221">
        <f t="shared" si="1"/>
        <v>0.30684931506849317</v>
      </c>
      <c r="J29" s="226"/>
      <c r="K29" s="226"/>
      <c r="L29" s="226"/>
      <c r="M29" s="226"/>
      <c r="N29" s="226"/>
      <c r="O29" s="226"/>
      <c r="P29" s="226"/>
      <c r="Q29" s="226"/>
      <c r="R29" s="226"/>
      <c r="S29" s="226"/>
      <c r="T29" s="226"/>
    </row>
    <row r="30" spans="1:26" ht="12.6" customHeight="1" x14ac:dyDescent="0.2">
      <c r="B30" s="8" t="s">
        <v>34</v>
      </c>
      <c r="D30" s="453">
        <f ca="1">OFFSET(E30,0,$D$14)</f>
        <v>1</v>
      </c>
      <c r="F30" s="454">
        <v>1</v>
      </c>
      <c r="G30" s="454">
        <v>1</v>
      </c>
      <c r="H30" s="454">
        <v>1</v>
      </c>
      <c r="I30" s="53" t="s">
        <v>35</v>
      </c>
      <c r="J30" s="226"/>
      <c r="K30" s="226"/>
      <c r="L30" s="226"/>
      <c r="M30" s="226"/>
      <c r="N30" s="226"/>
      <c r="O30" s="226"/>
      <c r="P30" s="226"/>
      <c r="Q30" s="226"/>
      <c r="R30" s="226"/>
      <c r="S30" s="226"/>
      <c r="T30" s="226"/>
    </row>
    <row r="31" spans="1:26" ht="12.6" customHeight="1" x14ac:dyDescent="0.2">
      <c r="B31" s="8" t="s">
        <v>36</v>
      </c>
      <c r="D31" s="453" t="str">
        <f ca="1">OFFSET(E31,0,$D$14)</f>
        <v>($ in Millions)</v>
      </c>
      <c r="F31" s="454" t="s">
        <v>37</v>
      </c>
      <c r="G31" s="454" t="s">
        <v>37</v>
      </c>
      <c r="H31" s="454" t="s">
        <v>37</v>
      </c>
      <c r="J31" s="226"/>
      <c r="K31" s="226"/>
      <c r="L31" s="226"/>
      <c r="M31" s="226"/>
      <c r="N31" s="226"/>
      <c r="O31" s="226"/>
      <c r="P31" s="226"/>
      <c r="Q31" s="226"/>
      <c r="R31" s="226"/>
      <c r="S31" s="226"/>
      <c r="T31" s="226"/>
    </row>
    <row r="32" spans="1:26" ht="12.6" customHeight="1" x14ac:dyDescent="0.2">
      <c r="B32" s="8" t="s">
        <v>38</v>
      </c>
      <c r="D32" s="455">
        <f ca="1">OFFSET(E32,0,$D$14)</f>
        <v>47848</v>
      </c>
      <c r="F32" s="371">
        <v>47848</v>
      </c>
      <c r="G32" s="371">
        <v>47848</v>
      </c>
      <c r="H32" s="371">
        <v>47848</v>
      </c>
      <c r="J32" s="226"/>
      <c r="K32" s="226"/>
      <c r="L32" s="226"/>
      <c r="M32" s="226"/>
      <c r="N32" s="226"/>
      <c r="O32" s="226"/>
      <c r="P32" s="226"/>
      <c r="Q32" s="226"/>
      <c r="R32" s="226"/>
      <c r="S32" s="226"/>
      <c r="T32" s="226"/>
    </row>
    <row r="33" spans="1:20" ht="12.6" customHeight="1" x14ac:dyDescent="0.2">
      <c r="B33" s="8" t="s">
        <v>39</v>
      </c>
      <c r="D33" s="457">
        <f ca="1">OFFSET(E33,0,$D$14)</f>
        <v>4.5043811610076672</v>
      </c>
      <c r="F33" s="372">
        <f>YEARFRAC(F27,F32,1)</f>
        <v>4.5043811610076672</v>
      </c>
      <c r="G33" s="372">
        <f>YEARFRAC(G27,G32,1)</f>
        <v>4.5043811610076672</v>
      </c>
      <c r="H33" s="372">
        <f>YEARFRAC(H27,H32,1)</f>
        <v>4.5043811610076672</v>
      </c>
      <c r="J33" s="226"/>
      <c r="K33" s="226"/>
      <c r="L33" s="226"/>
      <c r="M33" s="226"/>
      <c r="N33" s="226"/>
      <c r="O33" s="226"/>
      <c r="P33" s="226"/>
      <c r="Q33" s="226"/>
      <c r="R33" s="226"/>
      <c r="S33" s="226"/>
      <c r="T33" s="226"/>
    </row>
    <row r="34" spans="1:20" ht="12.6" customHeight="1" x14ac:dyDescent="0.2">
      <c r="B34" s="8" t="s">
        <v>40</v>
      </c>
      <c r="D34" s="458">
        <f ca="1">OFFSET(E34,0,$D$14)</f>
        <v>5</v>
      </c>
      <c r="F34" s="413">
        <f>ROUNDUP(F33,0)</f>
        <v>5</v>
      </c>
      <c r="G34" s="413">
        <f>ROUNDUP(G33,0)</f>
        <v>5</v>
      </c>
      <c r="H34" s="413">
        <f>ROUNDUP(H33,0)</f>
        <v>5</v>
      </c>
      <c r="J34" s="226"/>
      <c r="K34" s="226"/>
      <c r="L34" s="226"/>
      <c r="M34" s="226"/>
      <c r="N34" s="226"/>
      <c r="O34" s="226"/>
      <c r="P34" s="226"/>
      <c r="Q34" s="226"/>
      <c r="R34" s="226"/>
      <c r="S34" s="226"/>
      <c r="T34" s="226"/>
    </row>
    <row r="35" spans="1:20" ht="12.6" customHeight="1" x14ac:dyDescent="0.2">
      <c r="D35" s="218"/>
      <c r="F35" s="219"/>
      <c r="G35" s="219"/>
      <c r="H35" s="219"/>
      <c r="J35" s="226"/>
      <c r="K35" s="226"/>
      <c r="L35" s="226"/>
      <c r="M35" s="226"/>
      <c r="N35" s="226"/>
      <c r="O35" s="226"/>
      <c r="P35" s="226"/>
      <c r="Q35" s="226"/>
      <c r="R35" s="226"/>
      <c r="S35" s="226"/>
      <c r="T35" s="226"/>
    </row>
    <row r="36" spans="1:20" ht="12.6" customHeight="1" x14ac:dyDescent="0.2">
      <c r="A36" s="97" t="s">
        <v>7</v>
      </c>
      <c r="B36" s="9" t="s">
        <v>41</v>
      </c>
      <c r="G36" s="8"/>
      <c r="H36" s="8"/>
      <c r="J36" s="226"/>
      <c r="K36" s="226"/>
      <c r="L36" s="226"/>
      <c r="M36" s="226"/>
      <c r="N36" s="226"/>
      <c r="O36" s="226"/>
      <c r="P36" s="226"/>
      <c r="Q36" s="226"/>
      <c r="R36" s="226"/>
      <c r="S36" s="226"/>
      <c r="T36" s="226"/>
    </row>
    <row r="37" spans="1:20" ht="4.3499999999999996" customHeight="1" x14ac:dyDescent="0.2">
      <c r="G37" s="8"/>
      <c r="H37" s="8"/>
      <c r="J37" s="226"/>
      <c r="K37" s="226"/>
      <c r="L37" s="226"/>
      <c r="M37" s="226"/>
      <c r="N37" s="226"/>
      <c r="O37" s="226"/>
      <c r="P37" s="226"/>
      <c r="Q37" s="226"/>
      <c r="R37" s="226"/>
      <c r="S37" s="226"/>
      <c r="T37" s="226"/>
    </row>
    <row r="38" spans="1:20" ht="12.6" customHeight="1" x14ac:dyDescent="0.2">
      <c r="B38" s="8" t="s">
        <v>42</v>
      </c>
      <c r="D38" s="459">
        <f t="shared" ref="D38:D44" ca="1" si="2">OFFSET(E38,0,$D$14)</f>
        <v>72.609020999999998</v>
      </c>
      <c r="F38" s="460">
        <v>72.609020999999998</v>
      </c>
      <c r="G38" s="460">
        <v>72.609020999999998</v>
      </c>
      <c r="H38" s="460">
        <v>72.609020999999998</v>
      </c>
      <c r="J38" s="226"/>
      <c r="K38" s="226"/>
      <c r="L38" s="226"/>
      <c r="M38" s="226"/>
      <c r="N38" s="226"/>
      <c r="O38" s="226"/>
      <c r="P38" s="226"/>
      <c r="Q38" s="226"/>
      <c r="R38" s="226"/>
      <c r="S38" s="226"/>
      <c r="T38" s="226"/>
    </row>
    <row r="39" spans="1:20" ht="12.6" customHeight="1" x14ac:dyDescent="0.2">
      <c r="B39" s="8" t="s">
        <v>43</v>
      </c>
      <c r="D39" s="459">
        <f t="shared" ca="1" si="2"/>
        <v>0</v>
      </c>
      <c r="F39" s="461">
        <f>IF(OR(F51=1,F80="Yes"),F85,0)</f>
        <v>0</v>
      </c>
      <c r="G39" s="461">
        <f>IF(OR(G51=1,G80="Yes"),G85,0)</f>
        <v>0</v>
      </c>
      <c r="H39" s="461">
        <f>IF(OR(H51=1,H80="Yes"),H85,0)</f>
        <v>0</v>
      </c>
      <c r="J39" s="229" t="s">
        <v>44</v>
      </c>
      <c r="K39" s="226"/>
      <c r="L39" s="226"/>
      <c r="M39" s="226"/>
      <c r="N39" s="226"/>
      <c r="O39" s="226"/>
      <c r="P39" s="226"/>
      <c r="Q39" s="226"/>
      <c r="R39" s="226"/>
      <c r="S39" s="226"/>
      <c r="T39" s="226"/>
    </row>
    <row r="40" spans="1:20" ht="12.6" customHeight="1" x14ac:dyDescent="0.2">
      <c r="B40" s="8" t="s">
        <v>45</v>
      </c>
      <c r="D40" s="459">
        <f t="shared" ca="1" si="2"/>
        <v>2.75</v>
      </c>
      <c r="F40" s="462">
        <v>2.75</v>
      </c>
      <c r="G40" s="462">
        <v>2.75</v>
      </c>
      <c r="H40" s="462">
        <v>2.75</v>
      </c>
      <c r="J40" s="226"/>
      <c r="K40" s="226"/>
      <c r="L40" s="226"/>
      <c r="M40" s="226"/>
      <c r="N40" s="226"/>
      <c r="O40" s="226"/>
      <c r="P40" s="226"/>
      <c r="Q40" s="226"/>
      <c r="R40" s="226"/>
      <c r="S40" s="226"/>
      <c r="T40" s="226"/>
    </row>
    <row r="41" spans="1:20" ht="12.6" customHeight="1" x14ac:dyDescent="0.2">
      <c r="B41" s="8" t="s">
        <v>46</v>
      </c>
      <c r="D41" s="459">
        <f ca="1">OFFSET(E41,0,$D$14)</f>
        <v>-1.5384615384615401</v>
      </c>
      <c r="F41" s="460">
        <v>-1.5384615384615401</v>
      </c>
      <c r="G41" s="460">
        <v>-1.5384615384615401</v>
      </c>
      <c r="H41" s="460">
        <v>-1.5384615384615401</v>
      </c>
      <c r="J41" s="226"/>
      <c r="K41" s="226"/>
      <c r="L41" s="226"/>
      <c r="M41" s="226"/>
      <c r="N41" s="226"/>
      <c r="O41" s="226"/>
      <c r="P41" s="226"/>
      <c r="Q41" s="226"/>
      <c r="R41" s="226"/>
      <c r="S41" s="226"/>
      <c r="T41" s="226"/>
    </row>
    <row r="42" spans="1:20" ht="12.6" customHeight="1" x14ac:dyDescent="0.2">
      <c r="B42" s="8" t="s">
        <v>47</v>
      </c>
      <c r="D42" s="265">
        <f t="shared" ca="1" si="2"/>
        <v>0</v>
      </c>
      <c r="E42" s="46"/>
      <c r="F42" s="266"/>
      <c r="G42" s="266"/>
      <c r="H42" s="266"/>
      <c r="J42" s="226"/>
      <c r="K42" s="226"/>
      <c r="L42" s="226"/>
      <c r="M42" s="226"/>
      <c r="N42" s="226"/>
      <c r="O42" s="226"/>
      <c r="P42" s="226"/>
      <c r="Q42" s="226"/>
      <c r="R42" s="226"/>
      <c r="S42" s="226"/>
      <c r="T42" s="226"/>
    </row>
    <row r="43" spans="1:20" ht="12.6" customHeight="1" x14ac:dyDescent="0.2">
      <c r="B43" s="8" t="s">
        <v>48</v>
      </c>
      <c r="D43" s="231">
        <f t="shared" ca="1" si="2"/>
        <v>73.820559461538465</v>
      </c>
      <c r="E43" s="271"/>
      <c r="F43" s="272">
        <f>SUM(F38:F42)</f>
        <v>73.820559461538465</v>
      </c>
      <c r="G43" s="272">
        <f>SUM(G38:G42)</f>
        <v>73.820559461538465</v>
      </c>
      <c r="H43" s="272">
        <f>SUM(H38:H42)</f>
        <v>73.820559461538465</v>
      </c>
      <c r="J43" s="226"/>
      <c r="K43" s="226"/>
      <c r="L43" s="226"/>
      <c r="M43" s="226"/>
      <c r="N43" s="226"/>
      <c r="O43" s="226"/>
      <c r="P43" s="226"/>
      <c r="Q43" s="226"/>
      <c r="R43" s="226"/>
      <c r="S43" s="226"/>
      <c r="T43" s="226"/>
    </row>
    <row r="44" spans="1:20" ht="12.6" customHeight="1" x14ac:dyDescent="0.2">
      <c r="B44" s="8" t="s">
        <v>49</v>
      </c>
      <c r="D44" s="231">
        <f t="shared" ca="1" si="2"/>
        <v>1800.4834452669231</v>
      </c>
      <c r="E44" s="271"/>
      <c r="F44" s="272">
        <f>F43*$D$10</f>
        <v>1800.4834452669231</v>
      </c>
      <c r="G44" s="272">
        <f>G43*$D$10</f>
        <v>1800.4834452669231</v>
      </c>
      <c r="H44" s="272">
        <f>H43*$D$10</f>
        <v>1800.4834452669231</v>
      </c>
      <c r="J44" s="226"/>
      <c r="K44" s="226"/>
      <c r="L44" s="226"/>
      <c r="M44" s="226"/>
      <c r="N44" s="226"/>
      <c r="O44" s="226"/>
      <c r="P44" s="226"/>
      <c r="Q44" s="226"/>
      <c r="R44" s="226"/>
      <c r="S44" s="226"/>
      <c r="T44" s="226"/>
    </row>
    <row r="45" spans="1:20" ht="4.3499999999999996" customHeight="1" x14ac:dyDescent="0.2">
      <c r="D45"/>
      <c r="E45"/>
      <c r="F45"/>
      <c r="G45"/>
      <c r="H45"/>
      <c r="J45" s="226"/>
      <c r="K45" s="226"/>
      <c r="L45" s="226"/>
      <c r="M45" s="226"/>
      <c r="N45" s="226"/>
      <c r="O45" s="226"/>
      <c r="P45" s="226"/>
      <c r="Q45" s="226"/>
      <c r="R45" s="226"/>
      <c r="S45" s="226"/>
      <c r="T45" s="226"/>
    </row>
    <row r="46" spans="1:20" ht="12.6" customHeight="1" x14ac:dyDescent="0.2">
      <c r="B46" s="8" t="s">
        <v>50</v>
      </c>
      <c r="D46" s="459">
        <f ca="1">OFFSET(E46,0,$D$14)</f>
        <v>225</v>
      </c>
      <c r="F46" s="461">
        <f>F53</f>
        <v>225</v>
      </c>
      <c r="G46" s="461">
        <f>G53</f>
        <v>225</v>
      </c>
      <c r="H46" s="461">
        <f>H53</f>
        <v>225</v>
      </c>
      <c r="J46" s="229" t="s">
        <v>51</v>
      </c>
      <c r="K46" s="226"/>
      <c r="L46" s="226"/>
      <c r="M46" s="226"/>
      <c r="N46" s="226"/>
      <c r="O46" s="226"/>
      <c r="P46" s="226"/>
      <c r="Q46" s="226"/>
      <c r="R46" s="226"/>
      <c r="S46" s="226"/>
      <c r="T46" s="226"/>
    </row>
    <row r="47" spans="1:20" ht="12.6" customHeight="1" x14ac:dyDescent="0.2">
      <c r="G47" s="8"/>
      <c r="H47" s="8"/>
      <c r="J47" s="226"/>
      <c r="K47" s="226"/>
      <c r="L47" s="226"/>
      <c r="M47" s="226"/>
      <c r="N47" s="226"/>
      <c r="O47" s="226"/>
      <c r="P47" s="226"/>
      <c r="Q47" s="226"/>
      <c r="R47" s="226"/>
      <c r="S47" s="226"/>
      <c r="T47" s="226"/>
    </row>
    <row r="48" spans="1:20" ht="12.6" customHeight="1" x14ac:dyDescent="0.2">
      <c r="A48" s="97" t="s">
        <v>7</v>
      </c>
      <c r="B48" s="9" t="s">
        <v>52</v>
      </c>
      <c r="G48" s="8"/>
      <c r="H48" s="8"/>
      <c r="J48" s="229" t="s">
        <v>53</v>
      </c>
      <c r="K48" s="226"/>
      <c r="L48" s="226"/>
      <c r="M48" s="226"/>
      <c r="N48" s="226"/>
      <c r="O48" s="226"/>
      <c r="P48" s="226"/>
      <c r="Q48" s="226"/>
      <c r="R48" s="226"/>
      <c r="S48" s="226"/>
      <c r="T48" s="226"/>
    </row>
    <row r="49" spans="2:20" ht="9.9499999999999993" customHeight="1" x14ac:dyDescent="0.2">
      <c r="G49" s="8"/>
      <c r="H49" s="8"/>
      <c r="J49" s="226"/>
      <c r="K49" s="263" t="s">
        <v>54</v>
      </c>
      <c r="L49" s="226"/>
      <c r="M49" s="226"/>
      <c r="N49" s="226"/>
      <c r="O49" s="226"/>
      <c r="P49" s="226"/>
      <c r="Q49" s="226"/>
      <c r="R49" s="226"/>
      <c r="S49" s="226"/>
      <c r="T49" s="226"/>
    </row>
    <row r="50" spans="2:20" ht="12.6" customHeight="1" x14ac:dyDescent="0.2">
      <c r="B50" s="171" t="s">
        <v>55</v>
      </c>
      <c r="C50" s="13"/>
      <c r="D50" s="453">
        <f ca="1">OFFSET(E50,0,$D$14)</f>
        <v>1</v>
      </c>
      <c r="F50" s="454">
        <v>1</v>
      </c>
      <c r="G50" s="454">
        <v>1</v>
      </c>
      <c r="H50" s="454">
        <v>1</v>
      </c>
      <c r="I50" s="53" t="s">
        <v>21</v>
      </c>
      <c r="J50" s="229" t="s">
        <v>56</v>
      </c>
      <c r="K50" s="226"/>
      <c r="L50" s="226"/>
      <c r="M50" s="226"/>
      <c r="N50" s="226"/>
      <c r="O50" s="226"/>
      <c r="P50" s="226"/>
      <c r="Q50" s="226"/>
      <c r="R50" s="226"/>
      <c r="S50" s="226"/>
      <c r="T50" s="226"/>
    </row>
    <row r="51" spans="2:20" ht="12.6" customHeight="1" x14ac:dyDescent="0.2">
      <c r="B51" s="171" t="s">
        <v>57</v>
      </c>
      <c r="C51" s="13"/>
      <c r="D51" s="453">
        <f ca="1">OFFSET(E51,0,$D$14)</f>
        <v>0</v>
      </c>
      <c r="F51" s="454">
        <v>0</v>
      </c>
      <c r="G51" s="454">
        <v>0</v>
      </c>
      <c r="H51" s="454">
        <v>0</v>
      </c>
      <c r="I51" s="53" t="s">
        <v>21</v>
      </c>
      <c r="J51" s="264"/>
      <c r="K51" s="226"/>
      <c r="L51" s="226"/>
      <c r="M51" s="226"/>
      <c r="N51" s="226"/>
      <c r="O51" s="226"/>
      <c r="P51" s="226"/>
      <c r="Q51" s="226"/>
      <c r="R51" s="226"/>
      <c r="S51" s="226"/>
      <c r="T51" s="226"/>
    </row>
    <row r="52" spans="2:20" ht="12.6" customHeight="1" x14ac:dyDescent="0.2">
      <c r="G52" s="8"/>
      <c r="H52" s="8"/>
      <c r="J52" s="226"/>
      <c r="K52" s="226"/>
      <c r="L52" s="226"/>
      <c r="M52" s="226"/>
      <c r="N52" s="226"/>
      <c r="O52" s="226"/>
      <c r="P52" s="226"/>
      <c r="Q52" s="226"/>
      <c r="R52" s="226"/>
      <c r="S52" s="226"/>
      <c r="T52" s="226"/>
    </row>
    <row r="53" spans="2:20" ht="12.6" customHeight="1" x14ac:dyDescent="0.2">
      <c r="B53" s="8" t="s">
        <v>58</v>
      </c>
      <c r="D53" s="459">
        <f t="shared" ref="D53:D64" ca="1" si="3">OFFSET(E53,0,$D$14)</f>
        <v>225</v>
      </c>
      <c r="F53" s="460">
        <v>225</v>
      </c>
      <c r="G53" s="460">
        <v>225</v>
      </c>
      <c r="H53" s="460">
        <v>225</v>
      </c>
      <c r="J53" s="226"/>
      <c r="K53" s="226"/>
      <c r="L53" s="226"/>
      <c r="M53" s="226"/>
      <c r="N53" s="226"/>
      <c r="O53" s="226"/>
      <c r="P53" s="226"/>
      <c r="Q53" s="226"/>
      <c r="R53" s="226"/>
      <c r="S53" s="226"/>
      <c r="T53" s="226"/>
    </row>
    <row r="54" spans="2:20" ht="12.6" customHeight="1" x14ac:dyDescent="0.2">
      <c r="B54" s="8" t="s">
        <v>59</v>
      </c>
      <c r="D54" s="265">
        <f t="shared" ca="1" si="3"/>
        <v>1000</v>
      </c>
      <c r="F54" s="266">
        <v>1000</v>
      </c>
      <c r="G54" s="266">
        <v>1000</v>
      </c>
      <c r="H54" s="266">
        <v>1000</v>
      </c>
      <c r="J54" s="226"/>
      <c r="K54" s="226"/>
      <c r="L54" s="226"/>
      <c r="M54" s="226"/>
      <c r="N54" s="226"/>
      <c r="O54" s="226"/>
      <c r="P54" s="226"/>
      <c r="Q54" s="226"/>
      <c r="R54" s="226"/>
      <c r="S54" s="226"/>
      <c r="T54" s="226"/>
    </row>
    <row r="55" spans="2:20" ht="12.6" customHeight="1" x14ac:dyDescent="0.2">
      <c r="B55" s="8" t="s">
        <v>60</v>
      </c>
      <c r="D55" s="463">
        <f t="shared" ca="1" si="3"/>
        <v>0.22500000000000001</v>
      </c>
      <c r="E55"/>
      <c r="F55" s="413">
        <f>F53/F54</f>
        <v>0.22500000000000001</v>
      </c>
      <c r="G55" s="413">
        <f>G53/G54</f>
        <v>0.22500000000000001</v>
      </c>
      <c r="H55" s="413">
        <f>H53/H54</f>
        <v>0.22500000000000001</v>
      </c>
      <c r="J55" s="226"/>
      <c r="K55" s="226"/>
      <c r="L55" s="226"/>
      <c r="M55" s="226"/>
      <c r="N55" s="226"/>
      <c r="O55" s="226"/>
      <c r="P55" s="226"/>
      <c r="Q55" s="226"/>
      <c r="R55" s="226"/>
      <c r="S55" s="226"/>
      <c r="T55" s="226"/>
    </row>
    <row r="56" spans="2:20" ht="12.6" customHeight="1" x14ac:dyDescent="0.2">
      <c r="B56" s="8" t="s">
        <v>61</v>
      </c>
      <c r="D56" s="459">
        <f t="shared" ca="1" si="3"/>
        <v>5.5</v>
      </c>
      <c r="F56" s="460">
        <v>5.5</v>
      </c>
      <c r="G56" s="460">
        <v>5.5</v>
      </c>
      <c r="H56" s="460">
        <v>5.5</v>
      </c>
      <c r="J56" s="226"/>
      <c r="K56" s="226"/>
      <c r="L56" s="226"/>
      <c r="M56" s="226"/>
      <c r="N56" s="226"/>
      <c r="O56" s="226"/>
      <c r="P56" s="226"/>
      <c r="Q56" s="226"/>
      <c r="R56" s="226"/>
      <c r="S56" s="226"/>
      <c r="T56" s="226"/>
    </row>
    <row r="57" spans="2:20" ht="12.6" customHeight="1" x14ac:dyDescent="0.2">
      <c r="B57" s="8" t="s">
        <v>62</v>
      </c>
      <c r="D57" s="459">
        <f t="shared" ca="1" si="3"/>
        <v>218.78700000000001</v>
      </c>
      <c r="F57" s="461">
        <v>218.78700000000001</v>
      </c>
      <c r="G57" s="461">
        <v>218.78700000000001</v>
      </c>
      <c r="H57" s="461">
        <v>218.78700000000001</v>
      </c>
      <c r="J57" s="229" t="s">
        <v>63</v>
      </c>
      <c r="K57" s="226"/>
      <c r="L57" s="226"/>
      <c r="M57" s="226"/>
      <c r="N57" s="226"/>
      <c r="O57" s="226"/>
      <c r="P57" s="226"/>
      <c r="Q57" s="226"/>
      <c r="R57" s="226"/>
      <c r="S57" s="226"/>
      <c r="T57" s="226"/>
    </row>
    <row r="58" spans="2:20" ht="12.6" customHeight="1" x14ac:dyDescent="0.2">
      <c r="B58" s="8" t="s">
        <v>64</v>
      </c>
      <c r="D58" s="303">
        <f t="shared" ca="1" si="3"/>
        <v>2.75E-2</v>
      </c>
      <c r="F58" s="277">
        <v>2.75E-2</v>
      </c>
      <c r="G58" s="277">
        <v>2.75E-2</v>
      </c>
      <c r="H58" s="277">
        <v>2.75E-2</v>
      </c>
      <c r="J58" s="226"/>
      <c r="K58" s="226"/>
      <c r="L58" s="226"/>
      <c r="M58" s="226"/>
      <c r="N58" s="226"/>
      <c r="O58" s="226"/>
      <c r="P58" s="226"/>
      <c r="Q58" s="226"/>
      <c r="R58" s="226"/>
      <c r="S58" s="226"/>
      <c r="T58" s="226"/>
    </row>
    <row r="59" spans="2:20" ht="12.6" customHeight="1" x14ac:dyDescent="0.2">
      <c r="B59" s="8" t="s">
        <v>65</v>
      </c>
      <c r="D59" s="304">
        <f t="shared" ca="1" si="3"/>
        <v>3.4299999999999997E-2</v>
      </c>
      <c r="F59" s="464">
        <v>3.4299999999999997E-2</v>
      </c>
      <c r="G59" s="464">
        <v>3.4299999999999997E-2</v>
      </c>
      <c r="H59" s="464">
        <v>3.4299999999999997E-2</v>
      </c>
      <c r="J59" s="226"/>
      <c r="K59" s="226"/>
      <c r="L59" s="226"/>
      <c r="M59" s="226"/>
      <c r="N59" s="226"/>
      <c r="O59" s="226"/>
      <c r="P59" s="226"/>
      <c r="Q59" s="226"/>
      <c r="R59" s="226"/>
      <c r="S59" s="226"/>
      <c r="T59" s="226"/>
    </row>
    <row r="60" spans="2:20" ht="12.6" customHeight="1" x14ac:dyDescent="0.2">
      <c r="B60" s="8" t="s">
        <v>66</v>
      </c>
      <c r="D60" s="455">
        <f t="shared" ca="1" si="3"/>
        <v>45931</v>
      </c>
      <c r="F60" s="456">
        <v>45931</v>
      </c>
      <c r="G60" s="456">
        <v>45931</v>
      </c>
      <c r="H60" s="456">
        <v>45931</v>
      </c>
      <c r="J60" s="226"/>
      <c r="K60" s="226"/>
      <c r="L60" s="226"/>
      <c r="M60" s="226"/>
      <c r="N60" s="226"/>
      <c r="O60" s="226"/>
      <c r="P60" s="226"/>
      <c r="Q60" s="226"/>
      <c r="R60" s="226"/>
      <c r="S60" s="226"/>
      <c r="T60" s="226"/>
    </row>
    <row r="61" spans="2:20" ht="12.6" customHeight="1" x14ac:dyDescent="0.2">
      <c r="B61" s="8" t="s">
        <v>67</v>
      </c>
      <c r="D61" s="453">
        <f t="shared" ca="1" si="3"/>
        <v>2</v>
      </c>
      <c r="F61" s="454">
        <v>2</v>
      </c>
      <c r="G61" s="454">
        <v>2</v>
      </c>
      <c r="H61" s="454">
        <v>2</v>
      </c>
      <c r="J61" s="226"/>
      <c r="K61" s="226"/>
      <c r="L61" s="226"/>
      <c r="M61" s="226"/>
      <c r="N61" s="226"/>
      <c r="O61" s="226"/>
      <c r="P61" s="226"/>
      <c r="Q61" s="226"/>
      <c r="R61" s="226"/>
      <c r="S61" s="226"/>
      <c r="T61" s="226"/>
    </row>
    <row r="62" spans="2:20" ht="12.6" customHeight="1" x14ac:dyDescent="0.2">
      <c r="B62" s="8" t="s">
        <v>68</v>
      </c>
      <c r="D62" s="455">
        <f t="shared" ca="1" si="3"/>
        <v>47574</v>
      </c>
      <c r="F62" s="456">
        <v>47574</v>
      </c>
      <c r="G62" s="456">
        <v>47574</v>
      </c>
      <c r="H62" s="456">
        <v>47574</v>
      </c>
      <c r="J62" s="226"/>
      <c r="K62" s="226"/>
      <c r="L62" s="226"/>
      <c r="M62" s="226"/>
      <c r="N62" s="226"/>
      <c r="O62" s="226"/>
      <c r="P62" s="226"/>
      <c r="Q62" s="226"/>
      <c r="R62" s="226"/>
      <c r="S62" s="226"/>
      <c r="T62" s="226"/>
    </row>
    <row r="63" spans="2:20" ht="12.6" customHeight="1" x14ac:dyDescent="0.2">
      <c r="B63" s="8" t="s">
        <v>69</v>
      </c>
      <c r="D63" s="455">
        <f t="shared" ca="1" si="3"/>
        <v>45733</v>
      </c>
      <c r="F63" s="456">
        <v>45733</v>
      </c>
      <c r="G63" s="456">
        <v>45733</v>
      </c>
      <c r="H63" s="456">
        <v>45733</v>
      </c>
      <c r="J63" s="226"/>
      <c r="K63" s="226"/>
      <c r="L63" s="226"/>
      <c r="M63" s="226"/>
      <c r="N63" s="226"/>
      <c r="O63" s="226"/>
      <c r="P63" s="226"/>
      <c r="Q63" s="226"/>
      <c r="R63" s="226"/>
      <c r="S63" s="226"/>
      <c r="T63" s="226"/>
    </row>
    <row r="64" spans="2:20" ht="12.6" customHeight="1" x14ac:dyDescent="0.2">
      <c r="B64" s="8" t="s">
        <v>70</v>
      </c>
      <c r="D64" s="463">
        <f t="shared" ca="1" si="3"/>
        <v>3.5083333333333333</v>
      </c>
      <c r="E64"/>
      <c r="F64" s="413">
        <f ca="1">YEARFRAC(D5,$F$62)</f>
        <v>3.5083333333333333</v>
      </c>
      <c r="G64" s="413">
        <f>YEARFRAC(E5,$F$62)</f>
        <v>130.25277777777777</v>
      </c>
      <c r="H64" s="413">
        <f>YEARFRAC(F5,$F$62)</f>
        <v>130.25277777777777</v>
      </c>
      <c r="J64" s="226"/>
      <c r="K64" s="226"/>
      <c r="L64" s="226"/>
      <c r="M64" s="226"/>
      <c r="N64" s="226"/>
      <c r="O64" s="226"/>
      <c r="P64" s="226"/>
      <c r="Q64" s="226"/>
      <c r="R64" s="226"/>
      <c r="S64" s="226"/>
      <c r="T64" s="226"/>
    </row>
    <row r="65" spans="2:20" ht="4.3499999999999996" customHeight="1" x14ac:dyDescent="0.2">
      <c r="G65" s="8"/>
      <c r="H65" s="8"/>
      <c r="J65" s="226"/>
      <c r="K65" s="226"/>
      <c r="L65" s="226"/>
      <c r="M65" s="226"/>
      <c r="N65" s="226"/>
      <c r="O65" s="226"/>
      <c r="P65" s="226"/>
      <c r="Q65" s="226"/>
      <c r="R65" s="226"/>
      <c r="S65" s="226"/>
      <c r="T65" s="226"/>
    </row>
    <row r="66" spans="2:20" ht="12.6" customHeight="1" x14ac:dyDescent="0.2">
      <c r="B66" s="8" t="s">
        <v>71</v>
      </c>
      <c r="D66" s="463">
        <f ca="1">OFFSET(E66,0,$D$14)</f>
        <v>23.46</v>
      </c>
      <c r="F66" s="465">
        <v>23.46</v>
      </c>
      <c r="G66" s="465">
        <v>23.46</v>
      </c>
      <c r="H66" s="465">
        <v>23.46</v>
      </c>
      <c r="J66" s="226"/>
      <c r="K66" s="226"/>
      <c r="L66" s="226"/>
      <c r="M66" s="226"/>
      <c r="N66" s="226"/>
      <c r="O66" s="226"/>
      <c r="P66" s="226"/>
      <c r="Q66" s="226"/>
      <c r="R66" s="226"/>
      <c r="S66" s="226"/>
      <c r="T66" s="226"/>
    </row>
    <row r="67" spans="2:20" ht="12.6" customHeight="1" x14ac:dyDescent="0.2">
      <c r="B67" s="8" t="s">
        <v>72</v>
      </c>
      <c r="D67" s="459">
        <f ca="1">OFFSET(E67,0,$D$14)</f>
        <v>42.625745950554133</v>
      </c>
      <c r="F67" s="461">
        <f>F54/F66</f>
        <v>42.625745950554133</v>
      </c>
      <c r="G67" s="461">
        <f>G54/G66</f>
        <v>42.625745950554133</v>
      </c>
      <c r="H67" s="461">
        <f>H54/H66</f>
        <v>42.625745950554133</v>
      </c>
      <c r="J67" s="226"/>
      <c r="K67" s="226"/>
      <c r="L67" s="226"/>
      <c r="M67" s="226"/>
      <c r="N67" s="226"/>
      <c r="O67" s="226"/>
      <c r="P67" s="226"/>
      <c r="Q67" s="226"/>
      <c r="R67" s="226"/>
      <c r="S67" s="226"/>
      <c r="T67" s="226"/>
    </row>
    <row r="68" spans="2:20" ht="12.6" customHeight="1" x14ac:dyDescent="0.2">
      <c r="B68" s="8" t="s">
        <v>73</v>
      </c>
      <c r="D68" s="459">
        <f ca="1">OFFSET(E68,0,$D$14)</f>
        <v>1.3</v>
      </c>
      <c r="F68" s="464">
        <v>1.3</v>
      </c>
      <c r="G68" s="464">
        <v>1.3</v>
      </c>
      <c r="H68" s="464">
        <v>1.3</v>
      </c>
      <c r="J68" s="226"/>
      <c r="K68" s="226"/>
      <c r="L68" s="226"/>
      <c r="M68" s="226"/>
      <c r="N68" s="226"/>
      <c r="O68" s="226"/>
      <c r="P68" s="226"/>
      <c r="Q68" s="226"/>
      <c r="R68" s="226"/>
      <c r="S68" s="226"/>
      <c r="T68" s="226"/>
    </row>
    <row r="69" spans="2:20" ht="12.6" customHeight="1" x14ac:dyDescent="0.2">
      <c r="B69" s="8" t="s">
        <v>74</v>
      </c>
      <c r="D69" s="459">
        <f ca="1">OFFSET(E69,0,$D$14)</f>
        <v>30.498000000000001</v>
      </c>
      <c r="F69" s="413">
        <f>F66*F68</f>
        <v>30.498000000000001</v>
      </c>
      <c r="G69" s="413">
        <f>G66*G68</f>
        <v>30.498000000000001</v>
      </c>
      <c r="H69" s="413">
        <f>H66*H68</f>
        <v>30.498000000000001</v>
      </c>
      <c r="J69" s="226"/>
      <c r="K69" s="226"/>
      <c r="L69" s="226"/>
      <c r="M69" s="226"/>
      <c r="N69" s="226"/>
      <c r="O69" s="226"/>
      <c r="P69" s="226"/>
      <c r="Q69" s="226"/>
      <c r="R69" s="226"/>
      <c r="S69" s="226"/>
      <c r="T69" s="226"/>
    </row>
    <row r="70" spans="2:20" ht="12.6" customHeight="1" x14ac:dyDescent="0.2">
      <c r="B70" s="8" t="s">
        <v>75</v>
      </c>
      <c r="D70" s="463">
        <f ca="1">OFFSET(E70,0,$D$14)</f>
        <v>9.5907928388746804</v>
      </c>
      <c r="F70" s="413">
        <f>F67*F55</f>
        <v>9.5907928388746804</v>
      </c>
      <c r="G70" s="413">
        <f>G67*G55</f>
        <v>9.5907928388746804</v>
      </c>
      <c r="H70" s="413">
        <f>H67*H55</f>
        <v>9.5907928388746804</v>
      </c>
      <c r="I70" s="270"/>
      <c r="J70" s="226"/>
      <c r="K70" s="226"/>
      <c r="L70" s="226"/>
      <c r="M70" s="226"/>
      <c r="N70" s="226"/>
      <c r="O70" s="226"/>
      <c r="P70" s="226"/>
      <c r="Q70" s="226"/>
      <c r="R70" s="226"/>
      <c r="S70" s="226"/>
      <c r="T70" s="226"/>
    </row>
    <row r="71" spans="2:20" ht="4.3499999999999996" customHeight="1" x14ac:dyDescent="0.2">
      <c r="G71" s="8"/>
      <c r="H71" s="8"/>
      <c r="J71" s="226"/>
      <c r="K71" s="226"/>
      <c r="L71" s="226"/>
      <c r="M71" s="226"/>
      <c r="N71" s="226"/>
      <c r="O71" s="226"/>
      <c r="P71" s="226"/>
      <c r="Q71" s="226"/>
      <c r="R71" s="226"/>
      <c r="S71" s="226"/>
      <c r="T71" s="226"/>
    </row>
    <row r="72" spans="2:20" ht="12.6" customHeight="1" x14ac:dyDescent="0.2">
      <c r="B72" s="8" t="s">
        <v>76</v>
      </c>
      <c r="D72" s="459">
        <f ca="1">OFFSET(E72,0,$D$14)</f>
        <v>126.88</v>
      </c>
      <c r="F72" s="466">
        <v>126.88</v>
      </c>
      <c r="G72" s="466">
        <v>126.88</v>
      </c>
      <c r="H72" s="466">
        <v>126.88</v>
      </c>
      <c r="J72" s="226"/>
      <c r="K72" s="226"/>
      <c r="L72" s="226"/>
      <c r="M72" s="226"/>
      <c r="N72" s="226"/>
      <c r="O72" s="226"/>
      <c r="P72" s="226"/>
      <c r="Q72" s="226"/>
      <c r="R72" s="226"/>
      <c r="S72" s="226"/>
      <c r="T72" s="226"/>
    </row>
    <row r="73" spans="2:20" ht="12.6" customHeight="1" x14ac:dyDescent="0.2">
      <c r="B73" s="8" t="s">
        <v>77</v>
      </c>
      <c r="D73" s="459">
        <f ca="1">OFFSET(E73,0,$D$14)</f>
        <v>103.96419437340153</v>
      </c>
      <c r="F73" s="413">
        <f>F67*$D$10/10</f>
        <v>103.96419437340153</v>
      </c>
      <c r="G73" s="413">
        <f>G67*$D$10/10</f>
        <v>103.96419437340153</v>
      </c>
      <c r="H73" s="413">
        <f>H67*$D$10/10</f>
        <v>103.96419437340153</v>
      </c>
      <c r="J73" s="226"/>
      <c r="K73" s="226"/>
      <c r="L73" s="226"/>
      <c r="M73" s="226"/>
      <c r="N73" s="226"/>
      <c r="O73" s="226"/>
      <c r="P73" s="226"/>
      <c r="Q73" s="226"/>
      <c r="R73" s="226"/>
      <c r="S73" s="226"/>
      <c r="T73" s="226"/>
    </row>
    <row r="74" spans="2:20" ht="12.6" customHeight="1" x14ac:dyDescent="0.2">
      <c r="B74" s="8" t="s">
        <v>78</v>
      </c>
      <c r="D74" s="459">
        <f ca="1">OFFSET(E74,0,$D$14)</f>
        <v>1268.8</v>
      </c>
      <c r="F74" s="413">
        <f>F72*10</f>
        <v>1268.8</v>
      </c>
      <c r="G74" s="413">
        <f>G72*10</f>
        <v>1268.8</v>
      </c>
      <c r="H74" s="413">
        <f>H72*10</f>
        <v>1268.8</v>
      </c>
      <c r="J74" s="226"/>
      <c r="K74" s="226"/>
      <c r="L74" s="226"/>
      <c r="M74" s="226"/>
      <c r="N74" s="226"/>
      <c r="O74" s="226"/>
      <c r="P74" s="226"/>
      <c r="Q74" s="226"/>
      <c r="R74" s="226"/>
      <c r="S74" s="226"/>
      <c r="T74" s="226"/>
    </row>
    <row r="75" spans="2:20" ht="12.6" customHeight="1" x14ac:dyDescent="0.2">
      <c r="B75" s="8" t="s">
        <v>79</v>
      </c>
      <c r="D75" s="459">
        <f ca="1">OFFSET(E75,0,$D$14)</f>
        <v>1039.6419437340153</v>
      </c>
      <c r="F75" s="413">
        <f>F67*$D$10</f>
        <v>1039.6419437340153</v>
      </c>
      <c r="G75" s="413">
        <f>G67*$D$10</f>
        <v>1039.6419437340153</v>
      </c>
      <c r="H75" s="413">
        <f>H67*$D$10</f>
        <v>1039.6419437340153</v>
      </c>
      <c r="J75" s="226"/>
      <c r="K75" s="226"/>
      <c r="L75" s="226"/>
      <c r="M75" s="226"/>
      <c r="N75" s="226"/>
      <c r="O75" s="226"/>
      <c r="P75" s="226"/>
      <c r="Q75" s="226"/>
      <c r="R75" s="226"/>
      <c r="S75" s="226"/>
      <c r="T75" s="226"/>
    </row>
    <row r="76" spans="2:20" ht="12.6" customHeight="1" x14ac:dyDescent="0.2">
      <c r="B76" s="8" t="s">
        <v>80</v>
      </c>
      <c r="D76" s="467">
        <f ca="1">OFFSET(E76,0,$D$14)</f>
        <v>0.22042017220172205</v>
      </c>
      <c r="F76" s="468">
        <f>F74/F75-1</f>
        <v>0.22042017220172205</v>
      </c>
      <c r="G76" s="468">
        <f>G74/G75-1</f>
        <v>0.22042017220172205</v>
      </c>
      <c r="H76" s="468">
        <f>H74/H75-1</f>
        <v>0.22042017220172205</v>
      </c>
      <c r="J76" s="226"/>
      <c r="K76" s="226"/>
      <c r="L76" s="226"/>
      <c r="M76" s="226"/>
      <c r="N76" s="226"/>
      <c r="O76" s="226"/>
      <c r="P76" s="226"/>
      <c r="Q76" s="226"/>
      <c r="R76" s="226"/>
      <c r="S76" s="226"/>
      <c r="T76" s="226"/>
    </row>
    <row r="77" spans="2:20" ht="4.3499999999999996" customHeight="1" x14ac:dyDescent="0.2">
      <c r="G77" s="8"/>
      <c r="H77" s="8"/>
      <c r="J77" s="226"/>
      <c r="K77" s="226"/>
      <c r="L77" s="226"/>
      <c r="M77" s="226"/>
      <c r="N77" s="226"/>
      <c r="O77" s="226"/>
      <c r="P77" s="226"/>
      <c r="Q77" s="226"/>
      <c r="R77" s="226"/>
      <c r="S77" s="226"/>
      <c r="T77" s="226"/>
    </row>
    <row r="78" spans="2:20" ht="12.6" customHeight="1" x14ac:dyDescent="0.2">
      <c r="B78" s="8" t="s">
        <v>81</v>
      </c>
      <c r="D78" s="467" t="str">
        <f ca="1">OFFSET(E78,0,$D$14)</f>
        <v>YES</v>
      </c>
      <c r="F78" s="469" t="s">
        <v>82</v>
      </c>
      <c r="G78" s="469" t="s">
        <v>82</v>
      </c>
      <c r="H78" s="469" t="s">
        <v>82</v>
      </c>
      <c r="J78" s="226"/>
      <c r="K78" s="226"/>
      <c r="L78" s="226"/>
      <c r="M78" s="226"/>
      <c r="N78" s="226"/>
      <c r="O78" s="226"/>
      <c r="P78" s="226"/>
      <c r="Q78" s="226"/>
      <c r="R78" s="226"/>
      <c r="S78" s="226"/>
      <c r="T78" s="226"/>
    </row>
    <row r="79" spans="2:20" ht="12.6" customHeight="1" x14ac:dyDescent="0.2">
      <c r="B79" s="8" t="s">
        <v>83</v>
      </c>
      <c r="D79" s="267">
        <f ca="1">OFFSET(E79,0,$D$14)</f>
        <v>46295</v>
      </c>
      <c r="E79" s="46"/>
      <c r="F79" s="273">
        <v>46295</v>
      </c>
      <c r="G79" s="273">
        <v>46295</v>
      </c>
      <c r="H79" s="273">
        <v>46295</v>
      </c>
      <c r="J79" s="229" t="s">
        <v>84</v>
      </c>
      <c r="K79" s="226"/>
      <c r="L79" s="226"/>
      <c r="M79" s="226"/>
      <c r="N79" s="226"/>
      <c r="O79" s="226"/>
      <c r="P79" s="226"/>
      <c r="Q79" s="226"/>
      <c r="R79" s="226"/>
      <c r="S79" s="226"/>
      <c r="T79" s="226"/>
    </row>
    <row r="80" spans="2:20" ht="12.6" customHeight="1" x14ac:dyDescent="0.2">
      <c r="B80" s="8" t="s">
        <v>85</v>
      </c>
      <c r="D80" s="274" t="str">
        <f ca="1">OFFSET(E80,0,$D$14)</f>
        <v>No</v>
      </c>
      <c r="E80" s="220"/>
      <c r="F80" s="269" t="str">
        <f>IF(F74&gt;F75,"No","Yes")</f>
        <v>No</v>
      </c>
      <c r="G80" s="269" t="str">
        <f>IF(G74&gt;G75,"No","Yes")</f>
        <v>No</v>
      </c>
      <c r="H80" s="269" t="str">
        <f>IF(H74&gt;H75,"No","Yes")</f>
        <v>No</v>
      </c>
      <c r="J80" s="229" t="s">
        <v>86</v>
      </c>
      <c r="K80" s="226"/>
      <c r="L80" s="226"/>
      <c r="M80" s="226"/>
      <c r="N80" s="226"/>
      <c r="O80" s="226"/>
      <c r="P80" s="226"/>
      <c r="Q80" s="226"/>
      <c r="R80" s="226"/>
      <c r="S80" s="226"/>
      <c r="T80" s="226"/>
    </row>
    <row r="81" spans="1:20" ht="12.6" customHeight="1" x14ac:dyDescent="0.2">
      <c r="B81" s="8" t="s">
        <v>87</v>
      </c>
      <c r="D81" s="274" t="str">
        <f ca="1">OFFSET(E81,0,$D$14)</f>
        <v>Yes</v>
      </c>
      <c r="E81" s="220"/>
      <c r="F81" s="269" t="str">
        <f>IF(F75&gt;F54,"Yes","No")</f>
        <v>Yes</v>
      </c>
      <c r="G81" s="269" t="str">
        <f>IF(G75&gt;G54,"Yes","No")</f>
        <v>Yes</v>
      </c>
      <c r="H81" s="269" t="str">
        <f>IF(H75&gt;H54,"Yes","No")</f>
        <v>Yes</v>
      </c>
      <c r="J81" s="229" t="s">
        <v>88</v>
      </c>
      <c r="K81" s="226"/>
      <c r="L81" s="226"/>
      <c r="M81" s="226"/>
      <c r="N81" s="226"/>
      <c r="O81" s="226"/>
      <c r="P81" s="226"/>
      <c r="Q81" s="226"/>
      <c r="R81" s="226"/>
      <c r="S81" s="226"/>
      <c r="T81" s="226"/>
    </row>
    <row r="82" spans="1:20" ht="4.3499999999999996" customHeight="1" x14ac:dyDescent="0.2">
      <c r="D82"/>
      <c r="E82"/>
      <c r="F82"/>
      <c r="G82"/>
      <c r="H82"/>
      <c r="J82" s="229"/>
      <c r="K82" s="226"/>
      <c r="L82" s="226"/>
      <c r="M82" s="226"/>
      <c r="N82" s="226"/>
      <c r="O82" s="226"/>
      <c r="P82" s="226"/>
      <c r="Q82" s="226"/>
      <c r="R82" s="226"/>
      <c r="S82" s="226"/>
      <c r="T82" s="226"/>
    </row>
    <row r="83" spans="1:20" ht="12.6" customHeight="1" x14ac:dyDescent="0.2">
      <c r="B83" s="8" t="s">
        <v>89</v>
      </c>
      <c r="D83" s="467">
        <f ca="1">OFFSET(E83,0,$D$14)</f>
        <v>1</v>
      </c>
      <c r="F83" s="469">
        <v>1</v>
      </c>
      <c r="G83" s="469">
        <v>1</v>
      </c>
      <c r="H83" s="469">
        <v>1</v>
      </c>
      <c r="J83" s="229" t="s">
        <v>90</v>
      </c>
      <c r="K83" s="226"/>
      <c r="L83" s="226"/>
      <c r="M83" s="226"/>
      <c r="N83" s="226"/>
      <c r="O83" s="226"/>
      <c r="P83" s="226"/>
      <c r="Q83" s="226"/>
      <c r="R83" s="226"/>
      <c r="S83" s="226"/>
      <c r="T83" s="226"/>
    </row>
    <row r="84" spans="1:20" ht="12.6" customHeight="1" x14ac:dyDescent="0.2">
      <c r="B84" s="8" t="s">
        <v>91</v>
      </c>
      <c r="D84" s="230">
        <f ca="1">OFFSET(E84,0,$D$14)</f>
        <v>225</v>
      </c>
      <c r="E84" s="220"/>
      <c r="F84" s="275">
        <f>MIN(F53,F75*F55)*F83</f>
        <v>225</v>
      </c>
      <c r="G84" s="275">
        <f>MIN(G53,G75*G55)*G83</f>
        <v>225</v>
      </c>
      <c r="H84" s="275">
        <f>MIN(H53,H75*H55)*H83</f>
        <v>225</v>
      </c>
      <c r="I84" s="53"/>
      <c r="J84" s="229" t="s">
        <v>92</v>
      </c>
      <c r="K84" s="226"/>
      <c r="L84" s="226"/>
      <c r="M84" s="226"/>
      <c r="N84" s="226"/>
      <c r="O84" s="226"/>
      <c r="P84" s="226"/>
      <c r="Q84" s="226"/>
      <c r="R84" s="226"/>
      <c r="S84" s="226"/>
      <c r="T84" s="226"/>
    </row>
    <row r="85" spans="1:20" ht="12.6" customHeight="1" x14ac:dyDescent="0.2">
      <c r="B85" s="8" t="s">
        <v>93</v>
      </c>
      <c r="D85" s="230">
        <f ca="1">OFFSET(E85,0,$D$14)</f>
        <v>8.9194373401534506</v>
      </c>
      <c r="E85" s="220"/>
      <c r="F85" s="275">
        <f>MAX(F75*F55-F84,0)</f>
        <v>8.9194373401534506</v>
      </c>
      <c r="G85" s="275">
        <f>MAX(G75*G55-G84,0)</f>
        <v>8.9194373401534506</v>
      </c>
      <c r="H85" s="275">
        <f>MAX(H75*H55-H84,0)</f>
        <v>8.9194373401534506</v>
      </c>
      <c r="J85" s="229"/>
      <c r="K85" s="226"/>
      <c r="L85" s="226"/>
      <c r="M85" s="226"/>
      <c r="N85" s="226"/>
      <c r="O85" s="226"/>
      <c r="P85" s="226"/>
      <c r="Q85" s="226"/>
      <c r="R85" s="226"/>
      <c r="S85" s="226"/>
      <c r="T85" s="226"/>
    </row>
    <row r="86" spans="1:20" ht="12.6" customHeight="1" x14ac:dyDescent="0.2">
      <c r="G86" s="8"/>
      <c r="H86" s="8"/>
      <c r="J86" s="229"/>
      <c r="K86" s="226"/>
      <c r="L86" s="226"/>
      <c r="M86" s="226"/>
      <c r="N86" s="226"/>
      <c r="O86" s="226"/>
      <c r="P86" s="226"/>
      <c r="Q86" s="226"/>
      <c r="R86" s="226"/>
      <c r="S86" s="226"/>
      <c r="T86" s="226"/>
    </row>
    <row r="87" spans="1:20" ht="12.6" customHeight="1" x14ac:dyDescent="0.2">
      <c r="A87" s="97" t="s">
        <v>7</v>
      </c>
      <c r="B87" s="9" t="s">
        <v>94</v>
      </c>
      <c r="G87" s="8"/>
      <c r="H87" s="8"/>
      <c r="J87" s="226"/>
      <c r="K87" s="226"/>
      <c r="L87" s="226"/>
      <c r="M87" s="226"/>
      <c r="N87" s="226"/>
      <c r="O87" s="226"/>
      <c r="P87" s="226"/>
      <c r="Q87" s="226"/>
      <c r="R87" s="226"/>
      <c r="S87" s="226"/>
      <c r="T87" s="226"/>
    </row>
    <row r="88" spans="1:20" ht="4.3499999999999996" customHeight="1" x14ac:dyDescent="0.2">
      <c r="G88" s="8"/>
      <c r="H88" s="8"/>
      <c r="J88" s="226"/>
      <c r="K88" s="226"/>
      <c r="L88" s="226"/>
      <c r="M88" s="226"/>
      <c r="N88" s="226"/>
      <c r="O88" s="226"/>
      <c r="P88" s="226"/>
      <c r="Q88" s="226"/>
      <c r="R88" s="226"/>
      <c r="S88" s="226"/>
      <c r="T88" s="226"/>
    </row>
    <row r="89" spans="1:20" ht="12.6" customHeight="1" x14ac:dyDescent="0.2">
      <c r="B89" s="8" t="s">
        <v>95</v>
      </c>
      <c r="D89" s="470">
        <f ca="1">OFFSET(E89,0,$D$14)</f>
        <v>3.5000000000000003E-2</v>
      </c>
      <c r="F89" s="471">
        <v>3.5000000000000003E-2</v>
      </c>
      <c r="G89" s="471">
        <v>0.03</v>
      </c>
      <c r="H89" s="471">
        <v>0.04</v>
      </c>
      <c r="J89" s="226"/>
      <c r="K89" s="226"/>
      <c r="L89" s="226"/>
      <c r="M89" s="226"/>
      <c r="N89" s="226"/>
      <c r="O89" s="226"/>
      <c r="P89" s="226"/>
      <c r="Q89" s="226"/>
      <c r="R89" s="226"/>
      <c r="S89" s="226"/>
      <c r="T89" s="226"/>
    </row>
    <row r="90" spans="1:20" ht="12.6" customHeight="1" x14ac:dyDescent="0.2">
      <c r="B90" s="8" t="s">
        <v>96</v>
      </c>
      <c r="D90" s="472">
        <f ca="1">OFFSET(E90,0,$D$14)</f>
        <v>0.21</v>
      </c>
      <c r="F90" s="471">
        <v>0.21</v>
      </c>
      <c r="G90" s="471">
        <v>0.21</v>
      </c>
      <c r="H90" s="471">
        <v>0.21</v>
      </c>
      <c r="J90" s="226"/>
      <c r="K90" s="226"/>
      <c r="L90" s="226"/>
      <c r="M90" s="226"/>
      <c r="N90" s="226"/>
      <c r="O90" s="226"/>
      <c r="P90" s="226"/>
      <c r="Q90" s="226"/>
      <c r="R90" s="226"/>
      <c r="S90" s="226"/>
      <c r="T90" s="226"/>
    </row>
    <row r="91" spans="1:20" ht="12.6" customHeight="1" x14ac:dyDescent="0.2">
      <c r="B91" s="8" t="s">
        <v>97</v>
      </c>
      <c r="D91" s="472">
        <f ca="1">OFFSET(E91,0,$D$14)</f>
        <v>4.7800000000000002E-2</v>
      </c>
      <c r="F91" s="473">
        <v>4.7800000000000002E-2</v>
      </c>
      <c r="G91" s="473">
        <v>4.7800000000000002E-2</v>
      </c>
      <c r="H91" s="473">
        <v>4.7800000000000002E-2</v>
      </c>
      <c r="J91" s="226"/>
      <c r="K91" s="226"/>
      <c r="L91" s="226"/>
      <c r="M91" s="226"/>
      <c r="N91" s="226"/>
      <c r="O91" s="226"/>
      <c r="P91" s="226"/>
      <c r="Q91" s="226"/>
      <c r="R91" s="226"/>
      <c r="S91" s="226"/>
      <c r="T91" s="226"/>
    </row>
    <row r="92" spans="1:20" ht="12.6" customHeight="1" x14ac:dyDescent="0.2">
      <c r="G92" s="8"/>
      <c r="H92" s="8"/>
      <c r="J92" s="226"/>
      <c r="K92" s="226"/>
      <c r="L92" s="226"/>
      <c r="M92" s="226"/>
      <c r="N92" s="226"/>
      <c r="O92" s="226"/>
      <c r="P92" s="226"/>
      <c r="Q92" s="226"/>
      <c r="R92" s="226"/>
      <c r="S92" s="226"/>
      <c r="T92" s="226"/>
    </row>
    <row r="93" spans="1:20" ht="12.6" customHeight="1" x14ac:dyDescent="0.2">
      <c r="A93" s="97" t="s">
        <v>7</v>
      </c>
      <c r="B93" s="9" t="s">
        <v>98</v>
      </c>
      <c r="G93" s="8"/>
      <c r="H93" s="8"/>
      <c r="J93" s="229" t="s">
        <v>99</v>
      </c>
      <c r="K93" s="226"/>
      <c r="L93" s="226"/>
      <c r="M93" s="226"/>
      <c r="N93" s="226"/>
      <c r="O93" s="226"/>
      <c r="P93" s="226"/>
      <c r="Q93" s="226"/>
      <c r="R93" s="226"/>
      <c r="S93" s="226"/>
      <c r="T93" s="226"/>
    </row>
    <row r="94" spans="1:20" ht="4.3499999999999996" customHeight="1" x14ac:dyDescent="0.2">
      <c r="G94" s="8"/>
      <c r="H94" s="8"/>
      <c r="J94" s="226"/>
      <c r="K94" s="226"/>
      <c r="L94" s="226"/>
      <c r="M94" s="226"/>
      <c r="N94" s="226"/>
      <c r="O94" s="226"/>
      <c r="P94" s="226"/>
      <c r="Q94" s="226"/>
      <c r="R94" s="226"/>
      <c r="S94" s="226"/>
      <c r="T94" s="226"/>
    </row>
    <row r="95" spans="1:20" ht="12.6" customHeight="1" x14ac:dyDescent="0.2">
      <c r="B95" s="171" t="s">
        <v>100</v>
      </c>
      <c r="C95" s="13"/>
      <c r="D95" s="453">
        <f ca="1">OFFSET(E95,0,$D$14)</f>
        <v>0</v>
      </c>
      <c r="F95" s="454">
        <v>0</v>
      </c>
      <c r="G95" s="454">
        <v>0</v>
      </c>
      <c r="H95" s="454">
        <v>0</v>
      </c>
      <c r="I95" s="53" t="s">
        <v>101</v>
      </c>
      <c r="J95" s="226"/>
      <c r="K95" s="226"/>
      <c r="L95" s="226"/>
      <c r="M95" s="226"/>
      <c r="N95" s="226"/>
      <c r="O95" s="226"/>
      <c r="P95" s="226"/>
      <c r="Q95" s="226"/>
      <c r="R95" s="226"/>
      <c r="S95" s="226"/>
      <c r="T95" s="226"/>
    </row>
    <row r="96" spans="1:20" ht="12.6" customHeight="1" x14ac:dyDescent="0.2">
      <c r="B96" s="171"/>
      <c r="C96" s="13"/>
      <c r="D96" s="172"/>
      <c r="F96" s="173"/>
      <c r="G96" s="173"/>
      <c r="H96" s="173"/>
      <c r="I96" s="53"/>
      <c r="J96" s="226"/>
      <c r="K96" s="226"/>
      <c r="L96" s="226"/>
      <c r="M96" s="226"/>
      <c r="N96" s="226"/>
      <c r="O96" s="226"/>
      <c r="P96" s="226"/>
      <c r="Q96" s="226"/>
      <c r="R96" s="226"/>
      <c r="S96" s="226"/>
      <c r="T96" s="226"/>
    </row>
    <row r="97" spans="2:29" ht="12.6" customHeight="1" x14ac:dyDescent="0.2">
      <c r="B97" s="170" t="s">
        <v>102</v>
      </c>
      <c r="G97" s="8"/>
      <c r="H97" s="8"/>
      <c r="J97" s="226"/>
      <c r="K97" s="226"/>
      <c r="L97" s="226"/>
      <c r="M97" s="226"/>
      <c r="N97" s="226"/>
      <c r="O97" s="226"/>
      <c r="P97" s="226"/>
      <c r="Q97" s="226"/>
      <c r="R97" s="226"/>
      <c r="S97" s="226"/>
      <c r="T97" s="226"/>
    </row>
    <row r="98" spans="2:29" ht="4.3499999999999996" customHeight="1" x14ac:dyDescent="0.2">
      <c r="G98" s="8"/>
      <c r="H98" s="8"/>
      <c r="J98" s="226"/>
      <c r="K98" s="226"/>
      <c r="L98" s="226"/>
      <c r="M98" s="226"/>
      <c r="N98" s="226"/>
      <c r="O98" s="226"/>
      <c r="P98" s="226"/>
      <c r="Q98" s="226"/>
      <c r="R98" s="226"/>
      <c r="S98" s="226"/>
      <c r="T98" s="226"/>
    </row>
    <row r="99" spans="2:29" ht="12.6" customHeight="1" x14ac:dyDescent="0.2">
      <c r="B99" s="8" t="s">
        <v>103</v>
      </c>
      <c r="D99" s="451" t="str">
        <f ca="1">OFFSET(E99,0,$D$14)</f>
        <v>Radware</v>
      </c>
      <c r="F99" s="452" t="s">
        <v>104</v>
      </c>
      <c r="G99" s="452" t="s">
        <v>104</v>
      </c>
      <c r="H99" s="452" t="s">
        <v>104</v>
      </c>
      <c r="J99" s="229" t="s">
        <v>105</v>
      </c>
      <c r="K99" s="226"/>
      <c r="L99" s="226"/>
      <c r="M99" s="226"/>
      <c r="N99" s="226"/>
      <c r="O99" s="226"/>
      <c r="P99" s="226"/>
      <c r="Q99" s="226"/>
      <c r="R99" s="226"/>
      <c r="S99" s="226"/>
      <c r="T99" s="226"/>
      <c r="V99" s="8"/>
      <c r="W99" s="8"/>
      <c r="X99" s="8"/>
      <c r="Y99" s="19"/>
      <c r="Z99" s="245"/>
      <c r="AA99" s="246"/>
      <c r="AB99" s="247"/>
      <c r="AC99" s="247"/>
    </row>
    <row r="100" spans="2:29" ht="12.6" customHeight="1" x14ac:dyDescent="0.2">
      <c r="B100" s="8" t="s">
        <v>106</v>
      </c>
      <c r="D100" s="451" t="str">
        <f ca="1">OFFSET(E100,0,$D$14)</f>
        <v>RDWR</v>
      </c>
      <c r="F100" s="452" t="s">
        <v>107</v>
      </c>
      <c r="G100" s="452" t="s">
        <v>107</v>
      </c>
      <c r="H100" s="452" t="s">
        <v>107</v>
      </c>
      <c r="J100" s="226"/>
      <c r="K100" s="226"/>
      <c r="L100" s="226"/>
      <c r="M100" s="226"/>
      <c r="N100" s="226"/>
      <c r="O100" s="226"/>
      <c r="P100" s="226"/>
      <c r="Q100" s="226"/>
      <c r="R100" s="226"/>
      <c r="S100" s="226"/>
      <c r="T100" s="226"/>
      <c r="V100" s="8"/>
      <c r="W100" s="8"/>
      <c r="X100" s="8"/>
      <c r="Y100" s="19"/>
      <c r="Z100" s="245"/>
      <c r="AA100" s="246"/>
      <c r="AB100" s="247"/>
      <c r="AC100" s="247"/>
    </row>
    <row r="101" spans="2:29" ht="12.6" customHeight="1" x14ac:dyDescent="0.2">
      <c r="B101" s="8" t="s">
        <v>108</v>
      </c>
      <c r="D101" s="474">
        <f ca="1">OFFSET(E101,0,$D$14)</f>
        <v>21.724409000000001</v>
      </c>
      <c r="F101" s="475">
        <v>21.724409000000001</v>
      </c>
      <c r="G101" s="475">
        <v>21.724409000000001</v>
      </c>
      <c r="H101" s="475">
        <v>21.724409000000001</v>
      </c>
      <c r="J101" s="226"/>
      <c r="K101" s="226"/>
      <c r="L101" s="226"/>
      <c r="M101" s="226"/>
      <c r="N101" s="226"/>
      <c r="O101" s="226"/>
      <c r="P101" s="226"/>
      <c r="Q101" s="226"/>
      <c r="R101" s="226"/>
      <c r="S101" s="226"/>
      <c r="T101" s="226"/>
      <c r="V101" s="8"/>
      <c r="W101" s="8"/>
      <c r="X101" s="8"/>
      <c r="Y101" s="19"/>
      <c r="Z101" s="245"/>
      <c r="AA101" s="246"/>
      <c r="AB101" s="248"/>
      <c r="AC101" s="248"/>
    </row>
    <row r="102" spans="2:29" ht="12.6" customHeight="1" x14ac:dyDescent="0.2">
      <c r="B102" s="8" t="s">
        <v>109</v>
      </c>
      <c r="D102" s="470">
        <f ca="1">OFFSET(E102,0,$D$14)</f>
        <v>0.21</v>
      </c>
      <c r="F102" s="464">
        <v>0.21</v>
      </c>
      <c r="G102" s="464">
        <v>0.21</v>
      </c>
      <c r="H102" s="464">
        <v>0.21</v>
      </c>
      <c r="J102" s="226"/>
      <c r="K102" s="226"/>
      <c r="L102" s="226"/>
      <c r="M102" s="226"/>
      <c r="N102" s="226"/>
      <c r="O102" s="226"/>
      <c r="P102" s="226"/>
      <c r="Q102" s="226"/>
      <c r="R102" s="226"/>
      <c r="S102" s="226"/>
      <c r="T102" s="226"/>
      <c r="V102" s="8"/>
      <c r="W102" s="8"/>
      <c r="X102" s="8"/>
      <c r="Y102" s="19"/>
      <c r="Z102" s="245"/>
      <c r="AA102" s="246"/>
      <c r="AB102" s="248"/>
      <c r="AC102" s="248"/>
    </row>
    <row r="103" spans="2:29" ht="12.6" customHeight="1" x14ac:dyDescent="0.2">
      <c r="B103" s="8" t="s">
        <v>50</v>
      </c>
      <c r="D103" s="453">
        <f t="shared" ref="D103:D104" ca="1" si="4">OFFSET(E103,0,$D$14)</f>
        <v>0</v>
      </c>
      <c r="F103" s="454">
        <v>0</v>
      </c>
      <c r="G103" s="454">
        <v>0</v>
      </c>
      <c r="H103" s="454">
        <v>0</v>
      </c>
      <c r="J103" s="226"/>
      <c r="K103" s="226"/>
      <c r="L103" s="226"/>
      <c r="M103" s="226"/>
      <c r="N103" s="226"/>
      <c r="O103" s="226"/>
      <c r="P103" s="226"/>
      <c r="Q103" s="226"/>
      <c r="R103" s="226"/>
      <c r="S103" s="226"/>
      <c r="T103" s="226"/>
      <c r="V103" s="8"/>
      <c r="W103" s="8"/>
      <c r="X103" s="8"/>
      <c r="Y103" s="19"/>
      <c r="Z103" s="245"/>
      <c r="AA103" s="246"/>
      <c r="AB103" s="248"/>
      <c r="AC103" s="248"/>
    </row>
    <row r="104" spans="2:29" ht="12.6" customHeight="1" x14ac:dyDescent="0.2">
      <c r="B104" s="8" t="s">
        <v>110</v>
      </c>
      <c r="D104" s="453">
        <f t="shared" ca="1" si="4"/>
        <v>1300.893153</v>
      </c>
      <c r="F104" s="454">
        <v>1300.893153</v>
      </c>
      <c r="G104" s="454">
        <v>1300.893153</v>
      </c>
      <c r="H104" s="454">
        <v>1300.893153</v>
      </c>
      <c r="J104" s="226"/>
      <c r="K104" s="226"/>
      <c r="L104" s="226"/>
      <c r="M104" s="226"/>
      <c r="N104" s="226"/>
      <c r="O104" s="226"/>
      <c r="P104" s="226"/>
      <c r="Q104" s="226"/>
      <c r="R104" s="226"/>
      <c r="S104" s="226"/>
      <c r="T104" s="226"/>
      <c r="V104" s="8"/>
      <c r="W104" s="8"/>
      <c r="X104" s="8"/>
      <c r="Y104" s="19"/>
      <c r="Z104" s="245"/>
      <c r="AA104" s="246"/>
      <c r="AB104" s="248"/>
      <c r="AC104" s="248"/>
    </row>
    <row r="105" spans="2:29" ht="12.6" customHeight="1" x14ac:dyDescent="0.2">
      <c r="G105" s="8"/>
      <c r="H105" s="8"/>
      <c r="J105" s="226"/>
      <c r="K105" s="226"/>
      <c r="L105" s="226"/>
      <c r="M105" s="226"/>
      <c r="N105" s="226"/>
      <c r="O105" s="226"/>
      <c r="P105" s="226"/>
      <c r="Q105" s="226"/>
      <c r="R105" s="226"/>
      <c r="S105" s="226"/>
      <c r="T105" s="226"/>
    </row>
    <row r="106" spans="2:29" ht="12.6" customHeight="1" x14ac:dyDescent="0.2">
      <c r="B106" s="170" t="s">
        <v>111</v>
      </c>
      <c r="G106" s="8"/>
      <c r="H106" s="8"/>
      <c r="J106" s="226"/>
      <c r="K106" s="226"/>
      <c r="L106" s="226"/>
      <c r="M106" s="226"/>
      <c r="N106" s="226"/>
      <c r="O106" s="226"/>
      <c r="P106" s="226"/>
      <c r="Q106" s="226"/>
      <c r="R106" s="226"/>
      <c r="S106" s="226"/>
      <c r="T106" s="226"/>
    </row>
    <row r="107" spans="2:29" ht="4.3499999999999996" customHeight="1" x14ac:dyDescent="0.2">
      <c r="G107" s="8"/>
      <c r="H107" s="8"/>
      <c r="J107" s="226"/>
      <c r="K107" s="226"/>
      <c r="L107" s="226"/>
      <c r="M107" s="226"/>
      <c r="N107" s="226"/>
      <c r="O107" s="226"/>
      <c r="P107" s="226"/>
      <c r="Q107" s="226"/>
      <c r="R107" s="226"/>
      <c r="S107" s="226"/>
      <c r="T107" s="226"/>
    </row>
    <row r="108" spans="2:29" ht="12.6" customHeight="1" x14ac:dyDescent="0.2">
      <c r="B108" s="8" t="s">
        <v>103</v>
      </c>
      <c r="D108" s="451" t="str">
        <f ca="1">OFFSET(E108,0,$D$14)</f>
        <v>F5</v>
      </c>
      <c r="F108" s="452" t="s">
        <v>112</v>
      </c>
      <c r="G108" s="452" t="s">
        <v>112</v>
      </c>
      <c r="H108" s="452" t="s">
        <v>112</v>
      </c>
      <c r="J108" s="229" t="s">
        <v>113</v>
      </c>
      <c r="K108" s="226"/>
      <c r="L108" s="226"/>
      <c r="M108" s="226"/>
      <c r="N108" s="226"/>
      <c r="O108" s="226"/>
      <c r="P108" s="226"/>
      <c r="Q108" s="226"/>
      <c r="R108" s="226"/>
      <c r="S108" s="226"/>
      <c r="T108" s="226"/>
      <c r="V108" s="8"/>
      <c r="W108" s="8"/>
      <c r="X108" s="8"/>
      <c r="Y108" s="8"/>
      <c r="Z108" s="8"/>
      <c r="AA108" s="8"/>
    </row>
    <row r="109" spans="2:29" ht="12.6" customHeight="1" x14ac:dyDescent="0.2">
      <c r="B109" s="8" t="s">
        <v>106</v>
      </c>
      <c r="D109" s="451" t="str">
        <f ca="1">OFFSET(E109,0,$D$14)</f>
        <v>FFIV</v>
      </c>
      <c r="F109" s="452" t="s">
        <v>114</v>
      </c>
      <c r="G109" s="452" t="s">
        <v>114</v>
      </c>
      <c r="H109" s="452" t="s">
        <v>114</v>
      </c>
      <c r="J109" s="226"/>
      <c r="K109" s="226"/>
      <c r="L109" s="226"/>
      <c r="M109" s="226"/>
      <c r="N109" s="226"/>
      <c r="O109" s="226"/>
      <c r="P109" s="226"/>
      <c r="Q109" s="226"/>
      <c r="R109" s="226"/>
      <c r="S109" s="226"/>
      <c r="T109" s="226"/>
      <c r="V109" s="19"/>
      <c r="W109" s="19"/>
      <c r="X109" s="19"/>
      <c r="Y109" s="19"/>
      <c r="Z109" s="19"/>
      <c r="AA109" s="19"/>
    </row>
    <row r="110" spans="2:29" ht="12.6" customHeight="1" x14ac:dyDescent="0.2">
      <c r="B110" s="8" t="s">
        <v>108</v>
      </c>
      <c r="D110" s="474">
        <f ca="1">OFFSET(E110,0,$D$14)</f>
        <v>21.817378999999999</v>
      </c>
      <c r="F110" s="475">
        <v>21.817378999999999</v>
      </c>
      <c r="G110" s="475">
        <v>21.817378999999999</v>
      </c>
      <c r="H110" s="475">
        <v>21.817378999999999</v>
      </c>
      <c r="J110" s="226"/>
      <c r="K110" s="226"/>
      <c r="L110" s="226"/>
      <c r="M110" s="226"/>
      <c r="N110" s="226"/>
      <c r="O110" s="226"/>
      <c r="P110" s="226"/>
      <c r="Q110" s="226"/>
      <c r="R110" s="226"/>
      <c r="S110" s="226"/>
      <c r="T110" s="226"/>
      <c r="V110" s="245"/>
      <c r="W110" s="245"/>
      <c r="X110" s="245"/>
      <c r="Y110" s="245"/>
      <c r="Z110" s="245"/>
      <c r="AA110" s="245"/>
    </row>
    <row r="111" spans="2:29" ht="12.6" customHeight="1" x14ac:dyDescent="0.2">
      <c r="B111" s="8" t="s">
        <v>109</v>
      </c>
      <c r="D111" s="470">
        <f ca="1">OFFSET(E111,0,$D$14)</f>
        <v>0.21</v>
      </c>
      <c r="F111" s="464">
        <v>0.21</v>
      </c>
      <c r="G111" s="464">
        <v>0.21</v>
      </c>
      <c r="H111" s="464">
        <v>0.21</v>
      </c>
      <c r="J111" s="226"/>
      <c r="K111" s="226"/>
      <c r="L111" s="226"/>
      <c r="M111" s="226"/>
      <c r="N111" s="226"/>
      <c r="O111" s="226"/>
      <c r="P111" s="226"/>
      <c r="Q111" s="226"/>
      <c r="R111" s="226"/>
      <c r="S111" s="226"/>
      <c r="T111" s="226"/>
      <c r="V111" s="246"/>
      <c r="W111" s="246"/>
      <c r="X111" s="246"/>
      <c r="Y111" s="246"/>
      <c r="Z111" s="246"/>
      <c r="AA111" s="246"/>
    </row>
    <row r="112" spans="2:29" ht="12.6" customHeight="1" x14ac:dyDescent="0.2">
      <c r="B112" s="8" t="s">
        <v>50</v>
      </c>
      <c r="D112" s="453">
        <f t="shared" ref="D112:D113" ca="1" si="5">OFFSET(E112,0,$D$14)</f>
        <v>0</v>
      </c>
      <c r="F112" s="454">
        <v>0</v>
      </c>
      <c r="G112" s="454">
        <v>0</v>
      </c>
      <c r="H112" s="454">
        <v>0</v>
      </c>
      <c r="J112" s="226"/>
      <c r="K112" s="226"/>
      <c r="L112" s="226"/>
      <c r="M112" s="226"/>
      <c r="N112" s="226"/>
      <c r="O112" s="226"/>
      <c r="P112" s="226"/>
      <c r="Q112" s="226"/>
      <c r="R112" s="226"/>
      <c r="S112" s="226"/>
      <c r="T112" s="226"/>
      <c r="V112" s="247"/>
      <c r="W112" s="247"/>
      <c r="X112" s="248"/>
      <c r="Y112" s="248"/>
      <c r="Z112" s="248"/>
      <c r="AA112" s="248"/>
    </row>
    <row r="113" spans="2:27" ht="12.6" customHeight="1" x14ac:dyDescent="0.2">
      <c r="B113" s="8" t="s">
        <v>110</v>
      </c>
      <c r="D113" s="453">
        <f t="shared" ca="1" si="5"/>
        <v>22421.506461000001</v>
      </c>
      <c r="F113" s="454">
        <v>22421.506461000001</v>
      </c>
      <c r="G113" s="454">
        <v>22421.506461000001</v>
      </c>
      <c r="H113" s="454">
        <v>22421.506461000001</v>
      </c>
      <c r="J113" s="226"/>
      <c r="K113" s="226"/>
      <c r="L113" s="226"/>
      <c r="M113" s="226"/>
      <c r="N113" s="226"/>
      <c r="O113" s="226"/>
      <c r="P113" s="226"/>
      <c r="Q113" s="226"/>
      <c r="R113" s="226"/>
      <c r="S113" s="226"/>
      <c r="T113" s="226"/>
      <c r="V113" s="247"/>
      <c r="W113" s="247"/>
      <c r="X113" s="248"/>
      <c r="Y113" s="248"/>
      <c r="Z113" s="248"/>
      <c r="AA113" s="248"/>
    </row>
    <row r="114" spans="2:27" ht="12.6" customHeight="1" x14ac:dyDescent="0.2">
      <c r="G114" s="8"/>
      <c r="H114" s="8"/>
      <c r="J114" s="226"/>
      <c r="K114" s="226"/>
      <c r="L114" s="226"/>
      <c r="M114" s="226"/>
      <c r="N114" s="226"/>
      <c r="O114" s="226"/>
      <c r="P114" s="226"/>
      <c r="Q114" s="226"/>
      <c r="R114" s="226"/>
      <c r="S114" s="226"/>
      <c r="T114" s="226"/>
    </row>
    <row r="115" spans="2:27" ht="12.6" customHeight="1" x14ac:dyDescent="0.2">
      <c r="B115" s="170" t="s">
        <v>115</v>
      </c>
      <c r="G115" s="8"/>
      <c r="H115" s="8"/>
      <c r="J115" s="226"/>
      <c r="K115" s="226"/>
      <c r="L115" s="226"/>
      <c r="M115" s="226"/>
      <c r="N115" s="226"/>
      <c r="O115" s="226"/>
      <c r="P115" s="226"/>
      <c r="Q115" s="226"/>
      <c r="R115" s="226"/>
      <c r="S115" s="226"/>
      <c r="T115" s="226"/>
    </row>
    <row r="116" spans="2:27" ht="4.3499999999999996" customHeight="1" x14ac:dyDescent="0.2">
      <c r="G116" s="8"/>
      <c r="H116" s="8"/>
      <c r="J116" s="226"/>
      <c r="K116" s="226"/>
      <c r="L116" s="226"/>
      <c r="M116" s="226"/>
      <c r="N116" s="226"/>
      <c r="O116" s="226"/>
      <c r="P116" s="226"/>
      <c r="Q116" s="226"/>
      <c r="R116" s="226"/>
      <c r="S116" s="226"/>
      <c r="T116" s="226"/>
    </row>
    <row r="117" spans="2:27" ht="12.6" customHeight="1" x14ac:dyDescent="0.2">
      <c r="B117" s="8" t="s">
        <v>103</v>
      </c>
      <c r="D117" s="451" t="str">
        <f ca="1">OFFSET(E117,0,$D$14)</f>
        <v>NetScout Systems</v>
      </c>
      <c r="F117" s="452" t="s">
        <v>116</v>
      </c>
      <c r="G117" s="452" t="s">
        <v>116</v>
      </c>
      <c r="H117" s="452" t="s">
        <v>116</v>
      </c>
      <c r="J117" s="229" t="s">
        <v>117</v>
      </c>
      <c r="K117" s="226"/>
      <c r="L117" s="226"/>
      <c r="M117" s="226"/>
      <c r="N117" s="226"/>
      <c r="O117" s="226"/>
      <c r="P117" s="226"/>
      <c r="Q117" s="226"/>
      <c r="R117" s="226"/>
      <c r="S117" s="226"/>
      <c r="T117" s="226"/>
    </row>
    <row r="118" spans="2:27" ht="12.6" customHeight="1" x14ac:dyDescent="0.2">
      <c r="B118" s="8" t="s">
        <v>106</v>
      </c>
      <c r="D118" s="451" t="str">
        <f ca="1">OFFSET(E118,0,$D$14)</f>
        <v>NTCT</v>
      </c>
      <c r="F118" s="452" t="s">
        <v>118</v>
      </c>
      <c r="G118" s="452" t="s">
        <v>118</v>
      </c>
      <c r="H118" s="452" t="s">
        <v>118</v>
      </c>
      <c r="J118" s="226"/>
      <c r="K118" s="226"/>
      <c r="L118" s="226"/>
      <c r="M118" s="226"/>
      <c r="N118" s="226"/>
      <c r="O118" s="226"/>
      <c r="P118" s="226"/>
      <c r="Q118" s="226"/>
      <c r="R118" s="226"/>
      <c r="S118" s="226"/>
      <c r="T118" s="226"/>
    </row>
    <row r="119" spans="2:27" ht="12.6" customHeight="1" x14ac:dyDescent="0.2">
      <c r="B119" s="8" t="s">
        <v>108</v>
      </c>
      <c r="D119" s="474">
        <f ca="1">OFFSET(E119,0,$D$14)</f>
        <v>13.377848</v>
      </c>
      <c r="F119" s="475">
        <v>13.377848</v>
      </c>
      <c r="G119" s="475">
        <v>13.377848</v>
      </c>
      <c r="H119" s="475">
        <v>13.377848</v>
      </c>
      <c r="J119" s="226"/>
      <c r="K119" s="226"/>
      <c r="L119" s="226"/>
      <c r="M119" s="226"/>
      <c r="N119" s="226"/>
      <c r="O119" s="226"/>
      <c r="P119" s="226"/>
      <c r="Q119" s="226"/>
      <c r="R119" s="226"/>
      <c r="S119" s="226"/>
      <c r="T119" s="226"/>
    </row>
    <row r="120" spans="2:27" ht="12.6" customHeight="1" x14ac:dyDescent="0.2">
      <c r="B120" s="8" t="s">
        <v>109</v>
      </c>
      <c r="D120" s="470">
        <f ca="1">OFFSET(E120,0,$D$14)</f>
        <v>0.21</v>
      </c>
      <c r="F120" s="464">
        <v>0.21</v>
      </c>
      <c r="G120" s="464">
        <v>0.21</v>
      </c>
      <c r="H120" s="464">
        <v>0.21</v>
      </c>
      <c r="J120" s="226"/>
      <c r="K120" s="226"/>
      <c r="L120" s="226"/>
      <c r="M120" s="226"/>
      <c r="N120" s="226"/>
      <c r="O120" s="226"/>
      <c r="P120" s="226"/>
      <c r="Q120" s="226"/>
      <c r="R120" s="226"/>
      <c r="S120" s="226"/>
      <c r="T120" s="226"/>
    </row>
    <row r="121" spans="2:27" ht="12.6" customHeight="1" x14ac:dyDescent="0.2">
      <c r="B121" s="8" t="s">
        <v>50</v>
      </c>
      <c r="D121" s="453">
        <f t="shared" ref="D121:D122" ca="1" si="6">OFFSET(E121,0,$D$14)</f>
        <v>0</v>
      </c>
      <c r="F121" s="454">
        <v>0</v>
      </c>
      <c r="G121" s="454">
        <v>0</v>
      </c>
      <c r="H121" s="454">
        <v>0</v>
      </c>
      <c r="J121" s="226"/>
      <c r="K121" s="226"/>
      <c r="L121" s="226"/>
      <c r="M121" s="226"/>
      <c r="N121" s="226"/>
      <c r="O121" s="226"/>
      <c r="P121" s="226"/>
      <c r="Q121" s="226"/>
      <c r="R121" s="226"/>
      <c r="S121" s="226"/>
      <c r="T121" s="226"/>
    </row>
    <row r="122" spans="2:27" ht="12.6" customHeight="1" x14ac:dyDescent="0.2">
      <c r="B122" s="8" t="s">
        <v>110</v>
      </c>
      <c r="D122" s="453">
        <f t="shared" ca="1" si="6"/>
        <v>2860.405162</v>
      </c>
      <c r="F122" s="454">
        <v>2860.405162</v>
      </c>
      <c r="G122" s="454">
        <v>2860.405162</v>
      </c>
      <c r="H122" s="454">
        <v>2860.405162</v>
      </c>
      <c r="J122" s="226"/>
      <c r="K122" s="226"/>
      <c r="L122" s="226"/>
      <c r="M122" s="226"/>
      <c r="N122" s="226"/>
      <c r="O122" s="226"/>
      <c r="P122" s="226"/>
      <c r="Q122" s="226"/>
      <c r="R122" s="226"/>
      <c r="S122" s="226"/>
      <c r="T122" s="226"/>
    </row>
    <row r="123" spans="2:27" ht="12.6" customHeight="1" x14ac:dyDescent="0.2">
      <c r="G123" s="8"/>
      <c r="H123" s="8"/>
      <c r="J123" s="226"/>
      <c r="K123" s="226"/>
      <c r="L123" s="226"/>
      <c r="M123" s="226"/>
      <c r="N123" s="226"/>
      <c r="O123" s="226"/>
      <c r="P123" s="226"/>
      <c r="Q123" s="226"/>
      <c r="R123" s="226"/>
      <c r="S123" s="226"/>
      <c r="T123" s="226"/>
    </row>
    <row r="124" spans="2:27" ht="12.6" customHeight="1" x14ac:dyDescent="0.2">
      <c r="B124" s="170" t="s">
        <v>119</v>
      </c>
      <c r="G124" s="8"/>
      <c r="H124" s="8"/>
      <c r="J124" s="226"/>
      <c r="K124" s="226"/>
      <c r="L124" s="226"/>
      <c r="M124" s="226"/>
      <c r="N124" s="226"/>
      <c r="O124" s="226"/>
      <c r="P124" s="226"/>
      <c r="Q124" s="226"/>
      <c r="R124" s="226"/>
      <c r="S124" s="226"/>
      <c r="T124" s="226"/>
    </row>
    <row r="125" spans="2:27" ht="4.3499999999999996" customHeight="1" x14ac:dyDescent="0.2">
      <c r="G125" s="8"/>
      <c r="H125" s="8"/>
      <c r="J125" s="226"/>
      <c r="K125" s="226"/>
      <c r="L125" s="226"/>
      <c r="M125" s="226"/>
      <c r="N125" s="226"/>
      <c r="O125" s="226"/>
      <c r="P125" s="226"/>
      <c r="Q125" s="226"/>
      <c r="R125" s="226"/>
      <c r="S125" s="226"/>
      <c r="T125" s="226"/>
    </row>
    <row r="126" spans="2:27" ht="12.6" customHeight="1" x14ac:dyDescent="0.2">
      <c r="B126" s="8" t="s">
        <v>103</v>
      </c>
      <c r="D126" s="451" t="str">
        <f ca="1">OFFSET(E126,0,$D$14)</f>
        <v>Akamai Technologies</v>
      </c>
      <c r="F126" s="452" t="s">
        <v>120</v>
      </c>
      <c r="G126" s="452" t="s">
        <v>120</v>
      </c>
      <c r="H126" s="452" t="s">
        <v>120</v>
      </c>
      <c r="J126" s="229" t="s">
        <v>121</v>
      </c>
      <c r="K126" s="226"/>
      <c r="L126" s="226"/>
      <c r="M126" s="226"/>
      <c r="N126" s="226"/>
      <c r="O126" s="226"/>
      <c r="P126" s="226"/>
      <c r="Q126" s="226"/>
      <c r="R126" s="226"/>
      <c r="S126" s="226"/>
      <c r="T126" s="226"/>
    </row>
    <row r="127" spans="2:27" ht="12.6" customHeight="1" x14ac:dyDescent="0.2">
      <c r="B127" s="8" t="s">
        <v>106</v>
      </c>
      <c r="D127" s="451" t="str">
        <f ca="1">OFFSET(E127,0,$D$14)</f>
        <v>AKAM</v>
      </c>
      <c r="F127" s="452" t="s">
        <v>122</v>
      </c>
      <c r="G127" s="452" t="s">
        <v>122</v>
      </c>
      <c r="H127" s="452" t="s">
        <v>122</v>
      </c>
      <c r="J127" s="226"/>
      <c r="K127" s="226"/>
      <c r="L127" s="226"/>
      <c r="M127" s="226"/>
      <c r="N127" s="226"/>
      <c r="O127" s="226"/>
      <c r="P127" s="226"/>
      <c r="Q127" s="226"/>
      <c r="R127" s="226"/>
      <c r="S127" s="226"/>
      <c r="T127" s="226"/>
    </row>
    <row r="128" spans="2:27" ht="12.6" customHeight="1" x14ac:dyDescent="0.2">
      <c r="B128" s="8" t="s">
        <v>108</v>
      </c>
      <c r="D128" s="474">
        <f ca="1">OFFSET(E128,0,$D$14)</f>
        <v>15.198214999999999</v>
      </c>
      <c r="F128" s="475">
        <v>15.198214999999999</v>
      </c>
      <c r="G128" s="475">
        <v>15.198214999999999</v>
      </c>
      <c r="H128" s="475">
        <v>15.198214999999999</v>
      </c>
      <c r="J128" s="226"/>
      <c r="K128" s="226"/>
      <c r="L128" s="226"/>
      <c r="M128" s="226"/>
      <c r="N128" s="226"/>
      <c r="O128" s="226"/>
      <c r="P128" s="226"/>
      <c r="Q128" s="226"/>
      <c r="R128" s="226"/>
      <c r="S128" s="226"/>
      <c r="T128" s="226"/>
    </row>
    <row r="129" spans="2:20" ht="12.6" customHeight="1" x14ac:dyDescent="0.2">
      <c r="B129" s="8" t="s">
        <v>109</v>
      </c>
      <c r="D129" s="470">
        <f ca="1">OFFSET(E129,0,$D$14)</f>
        <v>0.21</v>
      </c>
      <c r="F129" s="464">
        <v>0.21</v>
      </c>
      <c r="G129" s="464">
        <v>0.21</v>
      </c>
      <c r="H129" s="464">
        <v>0.21</v>
      </c>
      <c r="J129" s="226"/>
      <c r="K129" s="226"/>
      <c r="L129" s="226"/>
      <c r="M129" s="226"/>
      <c r="N129" s="226"/>
      <c r="O129" s="226"/>
      <c r="P129" s="226"/>
      <c r="Q129" s="226"/>
      <c r="R129" s="226"/>
      <c r="S129" s="226"/>
      <c r="T129" s="226"/>
    </row>
    <row r="130" spans="2:20" ht="12.6" customHeight="1" x14ac:dyDescent="0.2">
      <c r="B130" s="8" t="s">
        <v>50</v>
      </c>
      <c r="D130" s="453">
        <f t="shared" ref="D130:D131" ca="1" si="7">OFFSET(E130,0,$D$14)</f>
        <v>7562.828125</v>
      </c>
      <c r="F130" s="454">
        <v>7562.828125</v>
      </c>
      <c r="G130" s="454">
        <v>7562.828125</v>
      </c>
      <c r="H130" s="454">
        <v>7562.828125</v>
      </c>
      <c r="J130" s="226"/>
      <c r="K130" s="226"/>
      <c r="L130" s="226"/>
      <c r="M130" s="226"/>
      <c r="N130" s="226"/>
      <c r="O130" s="226"/>
      <c r="P130" s="226"/>
      <c r="Q130" s="226"/>
      <c r="R130" s="226"/>
      <c r="S130" s="226"/>
      <c r="T130" s="226"/>
    </row>
    <row r="131" spans="2:20" ht="12.6" customHeight="1" x14ac:dyDescent="0.2">
      <c r="B131" s="8" t="s">
        <v>110</v>
      </c>
      <c r="D131" s="453">
        <f t="shared" ca="1" si="7"/>
        <v>17870.140981</v>
      </c>
      <c r="F131" s="454">
        <v>17870.140981</v>
      </c>
      <c r="G131" s="454">
        <v>17870.140981</v>
      </c>
      <c r="H131" s="454">
        <v>17870.140981</v>
      </c>
      <c r="J131" s="226"/>
      <c r="K131" s="226"/>
      <c r="L131" s="226"/>
      <c r="M131" s="226"/>
      <c r="N131" s="226"/>
      <c r="O131" s="226"/>
      <c r="P131" s="226"/>
      <c r="Q131" s="226"/>
      <c r="R131" s="226"/>
      <c r="S131" s="226"/>
      <c r="T131" s="226"/>
    </row>
    <row r="132" spans="2:20" ht="12.6" customHeight="1" x14ac:dyDescent="0.2">
      <c r="G132" s="8"/>
      <c r="H132" s="8"/>
      <c r="J132" s="226"/>
      <c r="K132" s="226"/>
      <c r="L132" s="226"/>
      <c r="M132" s="226"/>
      <c r="N132" s="226"/>
      <c r="O132" s="226"/>
      <c r="P132" s="226"/>
      <c r="Q132" s="226"/>
      <c r="R132" s="226"/>
      <c r="S132" s="226"/>
      <c r="T132" s="226"/>
    </row>
    <row r="133" spans="2:20" ht="12.6" customHeight="1" x14ac:dyDescent="0.2">
      <c r="B133" s="170" t="s">
        <v>123</v>
      </c>
      <c r="G133" s="8"/>
      <c r="H133" s="8"/>
      <c r="J133" s="226"/>
      <c r="K133" s="226"/>
      <c r="L133" s="226"/>
      <c r="M133" s="226"/>
      <c r="N133" s="226"/>
      <c r="O133" s="226"/>
      <c r="P133" s="226"/>
      <c r="Q133" s="226"/>
      <c r="R133" s="226"/>
      <c r="S133" s="226"/>
      <c r="T133" s="226"/>
    </row>
    <row r="134" spans="2:20" ht="4.3499999999999996" customHeight="1" x14ac:dyDescent="0.2">
      <c r="G134" s="8"/>
      <c r="H134" s="8"/>
      <c r="J134" s="226"/>
      <c r="K134" s="226"/>
      <c r="L134" s="226"/>
      <c r="M134" s="226"/>
      <c r="N134" s="226"/>
      <c r="O134" s="226"/>
      <c r="P134" s="226"/>
      <c r="Q134" s="226"/>
      <c r="R134" s="226"/>
      <c r="S134" s="226"/>
      <c r="T134" s="226"/>
    </row>
    <row r="135" spans="2:20" ht="12.6" customHeight="1" x14ac:dyDescent="0.2">
      <c r="B135" s="8" t="s">
        <v>103</v>
      </c>
      <c r="D135" s="451" t="str">
        <f ca="1">OFFSET(E135,0,$D$14)</f>
        <v>Extreme Networks</v>
      </c>
      <c r="F135" s="452" t="s">
        <v>124</v>
      </c>
      <c r="G135" s="452" t="s">
        <v>124</v>
      </c>
      <c r="H135" s="452" t="s">
        <v>124</v>
      </c>
      <c r="J135" s="229" t="s">
        <v>125</v>
      </c>
      <c r="K135" s="226"/>
      <c r="L135" s="226"/>
      <c r="M135" s="226"/>
      <c r="N135" s="226"/>
      <c r="O135" s="226"/>
      <c r="P135" s="226"/>
      <c r="Q135" s="226"/>
      <c r="R135" s="226"/>
      <c r="S135" s="226"/>
      <c r="T135" s="226"/>
    </row>
    <row r="136" spans="2:20" ht="12.6" customHeight="1" x14ac:dyDescent="0.2">
      <c r="B136" s="8" t="s">
        <v>106</v>
      </c>
      <c r="D136" s="451" t="str">
        <f ca="1">OFFSET(E136,0,$D$14)</f>
        <v>EXTR</v>
      </c>
      <c r="F136" s="452" t="s">
        <v>126</v>
      </c>
      <c r="G136" s="452" t="s">
        <v>126</v>
      </c>
      <c r="H136" s="452" t="s">
        <v>126</v>
      </c>
      <c r="J136" s="226"/>
      <c r="K136" s="226"/>
      <c r="L136" s="226"/>
      <c r="M136" s="226"/>
      <c r="N136" s="226"/>
      <c r="O136" s="226"/>
      <c r="P136" s="226"/>
      <c r="Q136" s="226"/>
      <c r="R136" s="226"/>
      <c r="S136" s="226"/>
      <c r="T136" s="226"/>
    </row>
    <row r="137" spans="2:20" ht="12.6" customHeight="1" x14ac:dyDescent="0.2">
      <c r="B137" s="8" t="s">
        <v>108</v>
      </c>
      <c r="D137" s="474">
        <f ca="1">OFFSET(E137,0,$D$14)</f>
        <v>16.294606999999999</v>
      </c>
      <c r="F137" s="475">
        <v>16.294606999999999</v>
      </c>
      <c r="G137" s="475">
        <v>16.294606999999999</v>
      </c>
      <c r="H137" s="475">
        <v>16.294606999999999</v>
      </c>
      <c r="J137" s="226"/>
      <c r="K137" s="226"/>
      <c r="L137" s="226"/>
      <c r="M137" s="226"/>
      <c r="N137" s="226"/>
      <c r="O137" s="226"/>
      <c r="P137" s="226"/>
      <c r="Q137" s="226"/>
      <c r="R137" s="226"/>
      <c r="S137" s="226"/>
      <c r="T137" s="226"/>
    </row>
    <row r="138" spans="2:20" ht="12.6" customHeight="1" x14ac:dyDescent="0.2">
      <c r="B138" s="8" t="s">
        <v>109</v>
      </c>
      <c r="D138" s="470">
        <f ca="1">OFFSET(E138,0,$D$14)</f>
        <v>0.21</v>
      </c>
      <c r="F138" s="464">
        <v>0.21</v>
      </c>
      <c r="G138" s="464">
        <v>0.21</v>
      </c>
      <c r="H138" s="464">
        <v>0.21</v>
      </c>
      <c r="J138" s="226"/>
      <c r="K138" s="226"/>
      <c r="L138" s="226"/>
      <c r="M138" s="226"/>
      <c r="N138" s="226"/>
      <c r="O138" s="226"/>
      <c r="P138" s="226"/>
      <c r="Q138" s="226"/>
      <c r="R138" s="226"/>
      <c r="S138" s="226"/>
      <c r="T138" s="226"/>
    </row>
    <row r="139" spans="2:20" ht="12.6" customHeight="1" x14ac:dyDescent="0.2">
      <c r="B139" s="8" t="s">
        <v>50</v>
      </c>
      <c r="D139" s="453">
        <f t="shared" ref="D139:D140" ca="1" si="8">OFFSET(E139,0,$D$14)</f>
        <v>177.99499499999999</v>
      </c>
      <c r="F139" s="454">
        <v>177.99499499999999</v>
      </c>
      <c r="G139" s="454">
        <v>177.99499499999999</v>
      </c>
      <c r="H139" s="454">
        <v>177.99499499999999</v>
      </c>
      <c r="J139" s="226"/>
      <c r="K139" s="226"/>
      <c r="L139" s="226"/>
      <c r="M139" s="226"/>
      <c r="N139" s="226"/>
      <c r="O139" s="226"/>
      <c r="P139" s="226"/>
      <c r="Q139" s="226"/>
      <c r="R139" s="226"/>
      <c r="S139" s="226"/>
      <c r="T139" s="226"/>
    </row>
    <row r="140" spans="2:20" ht="12.6" customHeight="1" x14ac:dyDescent="0.2">
      <c r="B140" s="8" t="s">
        <v>110</v>
      </c>
      <c r="D140" s="453">
        <f t="shared" ca="1" si="8"/>
        <v>3008.5111940000002</v>
      </c>
      <c r="F140" s="454">
        <v>3008.5111940000002</v>
      </c>
      <c r="G140" s="454">
        <v>3008.5111940000002</v>
      </c>
      <c r="H140" s="454">
        <v>3008.5111940000002</v>
      </c>
      <c r="J140" s="226"/>
      <c r="K140" s="226"/>
      <c r="L140" s="226"/>
      <c r="M140" s="226"/>
      <c r="N140" s="226"/>
      <c r="O140" s="226"/>
      <c r="P140" s="226"/>
      <c r="Q140" s="226"/>
      <c r="R140" s="226"/>
      <c r="S140" s="226"/>
      <c r="T140" s="226"/>
    </row>
    <row r="141" spans="2:20" ht="12.6" customHeight="1" x14ac:dyDescent="0.2">
      <c r="G141" s="8"/>
      <c r="H141" s="8"/>
      <c r="J141" s="226"/>
      <c r="K141" s="226"/>
      <c r="L141" s="226"/>
      <c r="M141" s="226"/>
      <c r="N141" s="226"/>
      <c r="O141" s="226"/>
      <c r="P141" s="226"/>
      <c r="Q141" s="226"/>
      <c r="R141" s="226"/>
      <c r="S141" s="226"/>
      <c r="T141" s="226"/>
    </row>
    <row r="142" spans="2:20" ht="12.6" customHeight="1" x14ac:dyDescent="0.2">
      <c r="B142" s="170" t="s">
        <v>127</v>
      </c>
      <c r="G142" s="8"/>
      <c r="H142" s="8"/>
      <c r="J142" s="226"/>
      <c r="K142" s="226"/>
      <c r="L142" s="226"/>
      <c r="M142" s="226"/>
      <c r="N142" s="226"/>
      <c r="O142" s="226"/>
      <c r="P142" s="226"/>
      <c r="Q142" s="226"/>
      <c r="R142" s="226"/>
      <c r="S142" s="226"/>
      <c r="T142" s="226"/>
    </row>
    <row r="143" spans="2:20" ht="4.3499999999999996" customHeight="1" x14ac:dyDescent="0.2">
      <c r="G143" s="8"/>
      <c r="H143" s="8"/>
      <c r="J143" s="226"/>
      <c r="K143" s="226"/>
      <c r="L143" s="226"/>
      <c r="M143" s="226"/>
      <c r="N143" s="226"/>
      <c r="O143" s="226"/>
      <c r="P143" s="226"/>
      <c r="Q143" s="226"/>
      <c r="R143" s="226"/>
      <c r="S143" s="226"/>
      <c r="T143" s="226"/>
    </row>
    <row r="144" spans="2:20" ht="12.6" customHeight="1" x14ac:dyDescent="0.2">
      <c r="B144" s="8" t="s">
        <v>103</v>
      </c>
      <c r="D144" s="451" t="str">
        <f ca="1">OFFSET(E144,0,$D$14)</f>
        <v>Cisco Systems</v>
      </c>
      <c r="F144" s="452" t="s">
        <v>128</v>
      </c>
      <c r="G144" s="452" t="s">
        <v>128</v>
      </c>
      <c r="H144" s="452" t="s">
        <v>128</v>
      </c>
      <c r="J144" s="229" t="s">
        <v>129</v>
      </c>
      <c r="K144" s="226"/>
      <c r="L144" s="226"/>
      <c r="M144" s="226"/>
      <c r="N144" s="226"/>
      <c r="O144" s="226"/>
      <c r="P144" s="226"/>
      <c r="Q144" s="226"/>
      <c r="R144" s="226"/>
      <c r="S144" s="226"/>
      <c r="T144" s="226"/>
    </row>
    <row r="145" spans="1:20" ht="12.6" customHeight="1" x14ac:dyDescent="0.2">
      <c r="B145" s="8" t="s">
        <v>106</v>
      </c>
      <c r="D145" s="451" t="str">
        <f ca="1">OFFSET(E145,0,$D$14)</f>
        <v>CSCO</v>
      </c>
      <c r="F145" s="452" t="s">
        <v>130</v>
      </c>
      <c r="G145" s="452" t="s">
        <v>130</v>
      </c>
      <c r="H145" s="452" t="s">
        <v>130</v>
      </c>
      <c r="J145" s="226"/>
      <c r="K145" s="226"/>
      <c r="L145" s="226"/>
      <c r="M145" s="226"/>
      <c r="N145" s="226"/>
      <c r="O145" s="226"/>
      <c r="P145" s="226"/>
      <c r="Q145" s="226"/>
      <c r="R145" s="226"/>
      <c r="S145" s="226"/>
      <c r="T145" s="226"/>
    </row>
    <row r="146" spans="1:20" ht="12.6" customHeight="1" x14ac:dyDescent="0.2">
      <c r="B146" s="8" t="s">
        <v>108</v>
      </c>
      <c r="D146" s="474">
        <f ca="1">OFFSET(E146,0,$D$14)</f>
        <v>21.030992999999999</v>
      </c>
      <c r="F146" s="475">
        <v>21.030992999999999</v>
      </c>
      <c r="G146" s="475">
        <v>21.030992999999999</v>
      </c>
      <c r="H146" s="475">
        <v>21.030992999999999</v>
      </c>
      <c r="J146" s="226"/>
      <c r="K146" s="226"/>
      <c r="L146" s="226"/>
      <c r="M146" s="226"/>
      <c r="N146" s="226"/>
      <c r="O146" s="226"/>
      <c r="P146" s="226"/>
      <c r="Q146" s="226"/>
      <c r="R146" s="226"/>
      <c r="S146" s="226"/>
      <c r="T146" s="226"/>
    </row>
    <row r="147" spans="1:20" ht="12.6" customHeight="1" x14ac:dyDescent="0.2">
      <c r="B147" s="8" t="s">
        <v>109</v>
      </c>
      <c r="D147" s="470">
        <f ca="1">OFFSET(E147,0,$D$14)</f>
        <v>0.21</v>
      </c>
      <c r="F147" s="464">
        <v>0.21</v>
      </c>
      <c r="G147" s="464">
        <v>0.21</v>
      </c>
      <c r="H147" s="464">
        <v>0.21</v>
      </c>
      <c r="J147" s="226"/>
      <c r="K147" s="226"/>
      <c r="L147" s="226"/>
      <c r="M147" s="226"/>
      <c r="N147" s="226"/>
      <c r="O147" s="226"/>
      <c r="P147" s="226"/>
      <c r="Q147" s="226"/>
      <c r="R147" s="226"/>
      <c r="S147" s="226"/>
      <c r="T147" s="226"/>
    </row>
    <row r="148" spans="1:20" ht="12.6" customHeight="1" x14ac:dyDescent="0.2">
      <c r="B148" s="8" t="s">
        <v>50</v>
      </c>
      <c r="D148" s="453">
        <f t="shared" ref="D148:D149" ca="1" si="9">OFFSET(E148,0,$D$14)</f>
        <v>29533</v>
      </c>
      <c r="F148" s="454">
        <v>29533</v>
      </c>
      <c r="G148" s="454">
        <v>29533</v>
      </c>
      <c r="H148" s="454">
        <v>29533</v>
      </c>
      <c r="J148" s="226"/>
      <c r="K148" s="226"/>
      <c r="L148" s="226"/>
      <c r="M148" s="226"/>
      <c r="N148" s="226"/>
      <c r="O148" s="226"/>
      <c r="P148" s="226"/>
      <c r="Q148" s="226"/>
      <c r="R148" s="226"/>
      <c r="S148" s="226"/>
      <c r="T148" s="226"/>
    </row>
    <row r="149" spans="1:20" ht="12.6" customHeight="1" x14ac:dyDescent="0.2">
      <c r="B149" s="8" t="s">
        <v>110</v>
      </c>
      <c r="D149" s="453">
        <f t="shared" ca="1" si="9"/>
        <v>428204.360277</v>
      </c>
      <c r="F149" s="454">
        <v>428204.360277</v>
      </c>
      <c r="G149" s="454">
        <v>428204.360277</v>
      </c>
      <c r="H149" s="454">
        <v>428204.360277</v>
      </c>
      <c r="J149" s="226"/>
      <c r="K149" s="226"/>
      <c r="L149" s="226"/>
      <c r="M149" s="226"/>
      <c r="N149" s="226"/>
      <c r="O149" s="226"/>
      <c r="P149" s="226"/>
      <c r="Q149" s="226"/>
      <c r="R149" s="226"/>
      <c r="S149" s="226"/>
      <c r="T149" s="226"/>
    </row>
    <row r="150" spans="1:20" ht="12.6" customHeight="1" x14ac:dyDescent="0.2">
      <c r="G150" s="8"/>
      <c r="H150" s="8"/>
      <c r="J150" s="226"/>
      <c r="K150" s="226"/>
      <c r="L150" s="226"/>
      <c r="M150" s="226"/>
      <c r="N150" s="226"/>
      <c r="O150" s="226"/>
      <c r="P150" s="226"/>
      <c r="Q150" s="226"/>
      <c r="R150" s="226"/>
      <c r="S150" s="226"/>
      <c r="T150" s="226"/>
    </row>
    <row r="151" spans="1:20" ht="12.6" customHeight="1" x14ac:dyDescent="0.2">
      <c r="A151" s="97" t="s">
        <v>7</v>
      </c>
      <c r="B151" s="9" t="s">
        <v>131</v>
      </c>
      <c r="G151" s="8"/>
      <c r="H151" s="8"/>
      <c r="J151" s="226"/>
      <c r="K151" s="226"/>
      <c r="L151" s="226"/>
      <c r="M151" s="226"/>
      <c r="N151" s="226"/>
      <c r="O151" s="226"/>
      <c r="P151" s="226"/>
      <c r="Q151" s="226"/>
      <c r="R151" s="226"/>
      <c r="S151" s="226"/>
      <c r="T151" s="226"/>
    </row>
    <row r="152" spans="1:20" ht="4.3499999999999996" customHeight="1" x14ac:dyDescent="0.2">
      <c r="G152" s="8"/>
      <c r="H152" s="8"/>
      <c r="J152" s="226"/>
      <c r="K152" s="226"/>
      <c r="L152" s="226"/>
      <c r="M152" s="226"/>
      <c r="N152" s="226"/>
      <c r="O152" s="226"/>
      <c r="P152" s="226"/>
      <c r="Q152" s="226"/>
      <c r="R152" s="226"/>
      <c r="S152" s="226"/>
      <c r="T152" s="226"/>
    </row>
    <row r="153" spans="1:20" ht="12.6" customHeight="1" x14ac:dyDescent="0.2">
      <c r="B153" s="171" t="s">
        <v>132</v>
      </c>
      <c r="C153" s="13"/>
      <c r="D153" s="453">
        <f ca="1">OFFSET(E153,0,$D$14)</f>
        <v>1</v>
      </c>
      <c r="F153" s="454">
        <v>1</v>
      </c>
      <c r="G153" s="454">
        <v>1</v>
      </c>
      <c r="H153" s="454">
        <v>1</v>
      </c>
      <c r="I153" s="53" t="s">
        <v>21</v>
      </c>
      <c r="J153" s="226"/>
      <c r="K153" s="226"/>
      <c r="L153" s="226"/>
      <c r="M153" s="226"/>
      <c r="N153" s="226"/>
      <c r="O153" s="226"/>
      <c r="P153" s="226"/>
      <c r="Q153" s="226"/>
      <c r="R153" s="226"/>
      <c r="S153" s="226"/>
      <c r="T153" s="226"/>
    </row>
    <row r="154" spans="1:20" ht="12.6" customHeight="1" x14ac:dyDescent="0.2">
      <c r="B154" s="171"/>
      <c r="C154" s="13"/>
      <c r="D154" s="172"/>
      <c r="F154" s="173"/>
      <c r="G154" s="173"/>
      <c r="H154" s="173"/>
      <c r="I154" s="53"/>
      <c r="J154" s="226"/>
      <c r="K154" s="226"/>
      <c r="L154" s="226"/>
      <c r="M154" s="226"/>
      <c r="N154" s="226"/>
      <c r="O154" s="226"/>
      <c r="P154" s="226"/>
      <c r="Q154" s="226"/>
      <c r="R154" s="226"/>
      <c r="S154" s="226"/>
      <c r="T154" s="226"/>
    </row>
    <row r="155" spans="1:20" ht="12.6" customHeight="1" x14ac:dyDescent="0.2">
      <c r="B155" s="8" t="s">
        <v>133</v>
      </c>
      <c r="D155" s="470">
        <f ca="1">OFFSET(E155,0,$D$14)</f>
        <v>5.0000000000000001E-3</v>
      </c>
      <c r="F155" s="471">
        <v>5.0000000000000001E-3</v>
      </c>
      <c r="G155" s="471">
        <v>5.0000000000000001E-3</v>
      </c>
      <c r="H155" s="471">
        <v>5.0000000000000001E-3</v>
      </c>
      <c r="I155" s="53"/>
      <c r="J155" s="226"/>
      <c r="K155" s="226"/>
      <c r="L155" s="226"/>
      <c r="M155" s="226"/>
      <c r="N155" s="226"/>
      <c r="O155" s="226"/>
      <c r="P155" s="226"/>
      <c r="Q155" s="226"/>
      <c r="R155" s="226"/>
      <c r="S155" s="226"/>
      <c r="T155" s="226"/>
    </row>
    <row r="156" spans="1:20" ht="12.6" customHeight="1" x14ac:dyDescent="0.2">
      <c r="B156" s="8" t="s">
        <v>134</v>
      </c>
      <c r="D156" s="470">
        <f ca="1">OFFSET(E156,0,$D$14)</f>
        <v>2E-3</v>
      </c>
      <c r="F156" s="471">
        <v>2E-3</v>
      </c>
      <c r="G156" s="471">
        <v>2E-3</v>
      </c>
      <c r="H156" s="471">
        <v>2E-3</v>
      </c>
      <c r="I156" s="53"/>
      <c r="J156" s="226"/>
      <c r="K156" s="226"/>
      <c r="L156" s="226"/>
      <c r="M156" s="226"/>
      <c r="N156" s="226"/>
      <c r="O156" s="226"/>
      <c r="P156" s="226"/>
      <c r="Q156" s="226"/>
      <c r="R156" s="226"/>
      <c r="S156" s="226"/>
      <c r="T156" s="226"/>
    </row>
    <row r="157" spans="1:20" ht="12.6" customHeight="1" x14ac:dyDescent="0.2">
      <c r="J157" s="226"/>
      <c r="K157" s="226"/>
      <c r="L157" s="226"/>
      <c r="M157" s="226"/>
      <c r="N157" s="226"/>
      <c r="O157" s="226"/>
      <c r="P157" s="226"/>
      <c r="Q157" s="226"/>
      <c r="R157" s="226"/>
      <c r="S157" s="226"/>
      <c r="T157" s="226"/>
    </row>
    <row r="158" spans="1:20" ht="12.6" customHeight="1" x14ac:dyDescent="0.2">
      <c r="A158" s="97" t="s">
        <v>7</v>
      </c>
      <c r="B158" s="9" t="s">
        <v>135</v>
      </c>
      <c r="J158" s="226"/>
      <c r="K158" s="226"/>
      <c r="L158" s="226"/>
      <c r="M158" s="226"/>
      <c r="N158" s="226"/>
      <c r="O158" s="226"/>
      <c r="P158" s="226"/>
      <c r="Q158" s="226"/>
      <c r="R158" s="226"/>
      <c r="S158" s="226"/>
      <c r="T158" s="226"/>
    </row>
    <row r="159" spans="1:20" ht="12.6" customHeight="1" x14ac:dyDescent="0.2">
      <c r="J159" s="226"/>
      <c r="K159" s="226"/>
      <c r="L159" s="226"/>
      <c r="M159" s="226"/>
      <c r="N159" s="226"/>
      <c r="O159" s="226"/>
      <c r="P159" s="226"/>
      <c r="Q159" s="226"/>
      <c r="R159" s="226"/>
      <c r="S159" s="226"/>
      <c r="T159" s="226"/>
    </row>
    <row r="160" spans="1:20" ht="12.6" customHeight="1" x14ac:dyDescent="0.2">
      <c r="J160" s="226"/>
      <c r="K160" s="226"/>
      <c r="L160" s="226"/>
      <c r="M160" s="226"/>
      <c r="N160" s="226"/>
      <c r="O160" s="226"/>
      <c r="P160" s="226"/>
      <c r="Q160" s="226"/>
      <c r="R160" s="226"/>
      <c r="S160" s="226"/>
      <c r="T160" s="226"/>
    </row>
    <row r="161" spans="10:20" ht="12.6" customHeight="1" x14ac:dyDescent="0.2">
      <c r="J161" s="226"/>
      <c r="K161" s="226"/>
      <c r="L161" s="226"/>
      <c r="M161" s="226"/>
      <c r="N161" s="226"/>
      <c r="O161" s="226"/>
      <c r="P161" s="226"/>
      <c r="Q161" s="226"/>
      <c r="R161" s="226"/>
      <c r="S161" s="226"/>
      <c r="T161" s="226"/>
    </row>
    <row r="162" spans="10:20" ht="12.6" customHeight="1" x14ac:dyDescent="0.2">
      <c r="J162" s="226"/>
      <c r="K162" s="226"/>
      <c r="L162" s="226"/>
      <c r="M162" s="226"/>
      <c r="N162" s="226"/>
      <c r="O162" s="226"/>
      <c r="P162" s="226"/>
      <c r="Q162" s="226"/>
      <c r="R162" s="226"/>
      <c r="S162" s="226"/>
      <c r="T162" s="226"/>
    </row>
    <row r="163" spans="10:20" ht="12.6" customHeight="1" x14ac:dyDescent="0.2">
      <c r="J163" s="226"/>
      <c r="K163" s="226"/>
      <c r="L163" s="226"/>
      <c r="M163" s="226"/>
      <c r="N163" s="226"/>
      <c r="O163" s="226"/>
      <c r="P163" s="226"/>
      <c r="Q163" s="226"/>
      <c r="R163" s="226"/>
      <c r="S163" s="226"/>
      <c r="T163" s="226"/>
    </row>
    <row r="164" spans="10:20" ht="12.6" customHeight="1" x14ac:dyDescent="0.2">
      <c r="J164" s="226"/>
      <c r="K164" s="226"/>
      <c r="L164" s="226"/>
      <c r="M164" s="226"/>
      <c r="N164" s="226"/>
      <c r="O164" s="226"/>
      <c r="P164" s="226"/>
      <c r="Q164" s="226"/>
      <c r="R164" s="226"/>
      <c r="S164" s="226"/>
      <c r="T164" s="226"/>
    </row>
    <row r="165" spans="10:20" ht="12.6" customHeight="1" x14ac:dyDescent="0.2">
      <c r="J165" s="226"/>
      <c r="K165" s="226"/>
      <c r="L165" s="226"/>
      <c r="M165" s="226"/>
      <c r="N165" s="226"/>
      <c r="O165" s="226"/>
      <c r="P165" s="226"/>
      <c r="Q165" s="226"/>
      <c r="R165" s="226"/>
      <c r="S165" s="226"/>
      <c r="T165" s="226"/>
    </row>
    <row r="166" spans="10:20" ht="12.6" customHeight="1" x14ac:dyDescent="0.2">
      <c r="J166" s="226"/>
      <c r="K166" s="226"/>
      <c r="L166" s="226"/>
      <c r="M166" s="226"/>
      <c r="N166" s="226"/>
      <c r="O166" s="226"/>
      <c r="P166" s="226"/>
      <c r="Q166" s="226"/>
      <c r="R166" s="226"/>
      <c r="S166" s="226"/>
      <c r="T166" s="226"/>
    </row>
    <row r="167" spans="10:20" ht="12.6" customHeight="1" x14ac:dyDescent="0.2">
      <c r="J167" s="226"/>
      <c r="K167" s="226"/>
      <c r="L167" s="226"/>
      <c r="M167" s="226"/>
      <c r="N167" s="226"/>
      <c r="O167" s="226"/>
      <c r="P167" s="226"/>
      <c r="Q167" s="226"/>
      <c r="R167" s="226"/>
      <c r="S167" s="226"/>
      <c r="T167" s="226"/>
    </row>
    <row r="168" spans="10:20" ht="12.6" customHeight="1" x14ac:dyDescent="0.2">
      <c r="J168" s="226"/>
      <c r="K168" s="226"/>
      <c r="L168" s="226"/>
      <c r="M168" s="226"/>
      <c r="N168" s="226"/>
      <c r="O168" s="226"/>
      <c r="P168" s="226"/>
      <c r="Q168" s="226"/>
      <c r="R168" s="226"/>
      <c r="S168" s="226"/>
      <c r="T168" s="226"/>
    </row>
    <row r="169" spans="10:20" ht="12.6" customHeight="1" x14ac:dyDescent="0.2">
      <c r="J169" s="226"/>
      <c r="K169" s="226"/>
      <c r="L169" s="226"/>
      <c r="M169" s="226"/>
      <c r="N169" s="226"/>
      <c r="O169" s="226"/>
      <c r="P169" s="226"/>
      <c r="Q169" s="226"/>
      <c r="R169" s="226"/>
      <c r="S169" s="226"/>
      <c r="T169" s="226"/>
    </row>
    <row r="170" spans="10:20" ht="12.6" customHeight="1" x14ac:dyDescent="0.2">
      <c r="J170" s="226"/>
      <c r="K170" s="226"/>
      <c r="L170" s="226"/>
      <c r="M170" s="226"/>
      <c r="N170" s="226"/>
      <c r="O170" s="226"/>
      <c r="P170" s="226"/>
      <c r="Q170" s="226"/>
      <c r="R170" s="226"/>
      <c r="S170" s="226"/>
      <c r="T170" s="226"/>
    </row>
    <row r="171" spans="10:20" ht="12.6" customHeight="1" x14ac:dyDescent="0.2">
      <c r="J171" s="226"/>
      <c r="K171" s="226"/>
      <c r="L171" s="226"/>
      <c r="M171" s="226"/>
      <c r="N171" s="226"/>
      <c r="O171" s="226"/>
      <c r="P171" s="226"/>
      <c r="Q171" s="226"/>
      <c r="R171" s="226"/>
      <c r="S171" s="226"/>
      <c r="T171" s="226"/>
    </row>
    <row r="172" spans="10:20" ht="12.6" customHeight="1" x14ac:dyDescent="0.2">
      <c r="J172" s="226"/>
      <c r="K172" s="226"/>
      <c r="L172" s="226"/>
      <c r="M172" s="226"/>
      <c r="N172" s="226"/>
      <c r="O172" s="226"/>
      <c r="P172" s="226"/>
      <c r="Q172" s="226"/>
      <c r="R172" s="226"/>
      <c r="S172" s="226"/>
      <c r="T172" s="226"/>
    </row>
    <row r="173" spans="10:20" ht="12.6" customHeight="1" x14ac:dyDescent="0.2">
      <c r="J173" s="226"/>
      <c r="K173" s="226"/>
      <c r="L173" s="226"/>
      <c r="M173" s="226"/>
      <c r="N173" s="226"/>
      <c r="O173" s="226"/>
      <c r="P173" s="226"/>
      <c r="Q173" s="226"/>
      <c r="R173" s="226"/>
      <c r="S173" s="226"/>
      <c r="T173" s="226"/>
    </row>
    <row r="174" spans="10:20" ht="12.6" customHeight="1" x14ac:dyDescent="0.2">
      <c r="J174" s="226"/>
      <c r="K174" s="226"/>
      <c r="L174" s="226"/>
      <c r="M174" s="226"/>
      <c r="N174" s="226"/>
      <c r="O174" s="226"/>
      <c r="P174" s="226"/>
      <c r="Q174" s="226"/>
      <c r="R174" s="226"/>
      <c r="S174" s="226"/>
      <c r="T174" s="226"/>
    </row>
    <row r="175" spans="10:20" ht="12.6" customHeight="1" x14ac:dyDescent="0.2">
      <c r="J175" s="226"/>
      <c r="K175" s="226"/>
      <c r="L175" s="226"/>
      <c r="M175" s="226"/>
      <c r="N175" s="226"/>
      <c r="O175" s="226"/>
      <c r="P175" s="226"/>
      <c r="Q175" s="226"/>
      <c r="R175" s="226"/>
      <c r="S175" s="226"/>
      <c r="T175" s="226"/>
    </row>
    <row r="176" spans="10:20" ht="12.6" customHeight="1" x14ac:dyDescent="0.2">
      <c r="J176" s="226"/>
      <c r="K176" s="226"/>
      <c r="L176" s="226"/>
      <c r="M176" s="226"/>
      <c r="N176" s="226"/>
      <c r="O176" s="226"/>
      <c r="P176" s="226"/>
      <c r="Q176" s="226"/>
      <c r="R176" s="226"/>
      <c r="S176" s="226"/>
      <c r="T176" s="226"/>
    </row>
    <row r="177" spans="10:20" ht="12.6" customHeight="1" x14ac:dyDescent="0.2">
      <c r="J177" s="226"/>
      <c r="K177" s="226"/>
      <c r="L177" s="226"/>
      <c r="M177" s="226"/>
      <c r="N177" s="226"/>
      <c r="O177" s="226"/>
      <c r="P177" s="226"/>
      <c r="Q177" s="226"/>
      <c r="R177" s="226"/>
      <c r="S177" s="226"/>
      <c r="T177" s="226"/>
    </row>
    <row r="178" spans="10:20" ht="12.6" customHeight="1" x14ac:dyDescent="0.2">
      <c r="J178" s="226"/>
      <c r="K178" s="226"/>
      <c r="L178" s="226"/>
      <c r="M178" s="226"/>
      <c r="N178" s="226"/>
      <c r="O178" s="226"/>
      <c r="P178" s="226"/>
      <c r="Q178" s="226"/>
      <c r="R178" s="226"/>
      <c r="S178" s="226"/>
      <c r="T178" s="226"/>
    </row>
    <row r="179" spans="10:20" ht="12.6" customHeight="1" x14ac:dyDescent="0.2">
      <c r="J179" s="226"/>
      <c r="K179" s="226"/>
      <c r="L179" s="226"/>
      <c r="M179" s="226"/>
      <c r="N179" s="226"/>
      <c r="O179" s="226"/>
      <c r="P179" s="226"/>
      <c r="Q179" s="226"/>
      <c r="R179" s="226"/>
      <c r="S179" s="226"/>
      <c r="T179" s="226"/>
    </row>
    <row r="180" spans="10:20" ht="12.6" customHeight="1" x14ac:dyDescent="0.2">
      <c r="J180" s="226"/>
      <c r="K180" s="226"/>
      <c r="L180" s="226"/>
      <c r="M180" s="226"/>
      <c r="N180" s="226"/>
      <c r="O180" s="226"/>
      <c r="P180" s="226"/>
      <c r="Q180" s="226"/>
      <c r="R180" s="226"/>
      <c r="S180" s="226"/>
      <c r="T180" s="226"/>
    </row>
    <row r="181" spans="10:20" ht="12.6" customHeight="1" x14ac:dyDescent="0.2">
      <c r="J181" s="226"/>
      <c r="K181" s="226"/>
      <c r="L181" s="226"/>
      <c r="M181" s="226"/>
      <c r="N181" s="226"/>
      <c r="O181" s="226"/>
      <c r="P181" s="226"/>
      <c r="Q181" s="226"/>
      <c r="R181" s="226"/>
      <c r="S181" s="226"/>
      <c r="T181" s="226"/>
    </row>
    <row r="182" spans="10:20" ht="12.6" customHeight="1" x14ac:dyDescent="0.2">
      <c r="J182" s="226"/>
      <c r="K182" s="226"/>
      <c r="L182" s="226"/>
      <c r="M182" s="226"/>
      <c r="N182" s="226"/>
      <c r="O182" s="226"/>
      <c r="P182" s="226"/>
      <c r="Q182" s="226"/>
      <c r="R182" s="226"/>
      <c r="S182" s="226"/>
      <c r="T182" s="226"/>
    </row>
    <row r="183" spans="10:20" ht="12.6" customHeight="1" x14ac:dyDescent="0.2">
      <c r="J183" s="226"/>
      <c r="K183" s="226"/>
      <c r="L183" s="226"/>
      <c r="M183" s="226"/>
      <c r="N183" s="226"/>
      <c r="O183" s="226"/>
      <c r="P183" s="226"/>
      <c r="Q183" s="226"/>
      <c r="R183" s="226"/>
      <c r="S183" s="226"/>
      <c r="T183" s="226"/>
    </row>
    <row r="184" spans="10:20" ht="12.6" customHeight="1" x14ac:dyDescent="0.2">
      <c r="J184" s="226"/>
      <c r="K184" s="226"/>
      <c r="L184" s="226"/>
      <c r="M184" s="226"/>
      <c r="N184" s="226"/>
      <c r="O184" s="226"/>
      <c r="P184" s="226"/>
      <c r="Q184" s="226"/>
      <c r="R184" s="226"/>
      <c r="S184" s="226"/>
      <c r="T184" s="226"/>
    </row>
    <row r="185" spans="10:20" ht="12.6" customHeight="1" x14ac:dyDescent="0.2">
      <c r="J185" s="226"/>
      <c r="K185" s="226"/>
      <c r="L185" s="226"/>
      <c r="M185" s="226"/>
      <c r="N185" s="226"/>
      <c r="O185" s="226"/>
      <c r="P185" s="226"/>
      <c r="Q185" s="226"/>
      <c r="R185" s="226"/>
      <c r="S185" s="226"/>
      <c r="T185" s="226"/>
    </row>
    <row r="186" spans="10:20" ht="12.6" customHeight="1" x14ac:dyDescent="0.2">
      <c r="J186" s="226"/>
      <c r="K186" s="226"/>
      <c r="L186" s="226"/>
      <c r="M186" s="226"/>
      <c r="N186" s="226"/>
      <c r="O186" s="226"/>
      <c r="P186" s="226"/>
      <c r="Q186" s="226"/>
      <c r="R186" s="226"/>
      <c r="S186" s="226"/>
      <c r="T186" s="226"/>
    </row>
    <row r="187" spans="10:20" ht="12.6" customHeight="1" x14ac:dyDescent="0.2">
      <c r="J187" s="226"/>
      <c r="K187" s="226"/>
      <c r="L187" s="226"/>
      <c r="M187" s="226"/>
      <c r="N187" s="226"/>
      <c r="O187" s="226"/>
      <c r="P187" s="226"/>
      <c r="Q187" s="226"/>
      <c r="R187" s="226"/>
      <c r="S187" s="226"/>
      <c r="T187" s="226"/>
    </row>
    <row r="188" spans="10:20" ht="12.6" customHeight="1" x14ac:dyDescent="0.2">
      <c r="J188" s="226"/>
      <c r="K188" s="226"/>
      <c r="L188" s="226"/>
      <c r="M188" s="226"/>
      <c r="N188" s="226"/>
      <c r="O188" s="226"/>
      <c r="P188" s="226"/>
      <c r="Q188" s="226"/>
      <c r="R188" s="226"/>
      <c r="S188" s="226"/>
      <c r="T188" s="226"/>
    </row>
    <row r="189" spans="10:20" ht="12.6" customHeight="1" x14ac:dyDescent="0.2">
      <c r="J189" s="226"/>
      <c r="K189" s="226"/>
      <c r="L189" s="226"/>
      <c r="M189" s="226"/>
      <c r="N189" s="226"/>
      <c r="O189" s="226"/>
      <c r="P189" s="226"/>
      <c r="Q189" s="226"/>
      <c r="R189" s="226"/>
      <c r="S189" s="226"/>
      <c r="T189" s="226"/>
    </row>
    <row r="190" spans="10:20" ht="12.6" customHeight="1" x14ac:dyDescent="0.2">
      <c r="J190" s="226"/>
      <c r="K190" s="226"/>
      <c r="L190" s="226"/>
      <c r="M190" s="226"/>
      <c r="N190" s="226"/>
      <c r="O190" s="226"/>
      <c r="P190" s="226"/>
      <c r="Q190" s="226"/>
      <c r="R190" s="226"/>
      <c r="S190" s="226"/>
      <c r="T190" s="226"/>
    </row>
    <row r="191" spans="10:20" ht="12.6" customHeight="1" x14ac:dyDescent="0.2">
      <c r="J191" s="226"/>
      <c r="K191" s="226"/>
      <c r="L191" s="226"/>
      <c r="M191" s="226"/>
      <c r="N191" s="226"/>
      <c r="O191" s="226"/>
      <c r="P191" s="226"/>
      <c r="Q191" s="226"/>
      <c r="R191" s="226"/>
      <c r="S191" s="226"/>
      <c r="T191" s="226"/>
    </row>
    <row r="192" spans="10:20" ht="12.6" customHeight="1" x14ac:dyDescent="0.2">
      <c r="J192" s="226"/>
      <c r="K192" s="226"/>
      <c r="L192" s="226"/>
      <c r="M192" s="226"/>
      <c r="N192" s="226"/>
      <c r="O192" s="226"/>
      <c r="P192" s="226"/>
      <c r="Q192" s="226"/>
      <c r="R192" s="226"/>
      <c r="S192" s="226"/>
      <c r="T192" s="226"/>
    </row>
    <row r="193" spans="10:20" ht="12.6" customHeight="1" x14ac:dyDescent="0.2">
      <c r="J193" s="226"/>
      <c r="K193" s="226"/>
      <c r="L193" s="226"/>
      <c r="M193" s="226"/>
      <c r="N193" s="226"/>
      <c r="O193" s="226"/>
      <c r="P193" s="226"/>
      <c r="Q193" s="226"/>
      <c r="R193" s="226"/>
      <c r="S193" s="226"/>
      <c r="T193" s="226"/>
    </row>
    <row r="194" spans="10:20" ht="12.6" customHeight="1" x14ac:dyDescent="0.2">
      <c r="J194" s="226"/>
      <c r="K194" s="226"/>
      <c r="L194" s="226"/>
      <c r="M194" s="226"/>
      <c r="N194" s="226"/>
      <c r="O194" s="226"/>
      <c r="P194" s="226"/>
      <c r="Q194" s="226"/>
      <c r="R194" s="226"/>
      <c r="S194" s="226"/>
      <c r="T194" s="226"/>
    </row>
    <row r="195" spans="10:20" ht="12.6" customHeight="1" x14ac:dyDescent="0.2">
      <c r="J195" s="226"/>
      <c r="K195" s="226"/>
      <c r="L195" s="226"/>
      <c r="M195" s="226"/>
      <c r="N195" s="226"/>
      <c r="O195" s="226"/>
      <c r="P195" s="226"/>
      <c r="Q195" s="226"/>
      <c r="R195" s="226"/>
      <c r="S195" s="226"/>
      <c r="T195" s="226"/>
    </row>
    <row r="196" spans="10:20" ht="12.6" customHeight="1" x14ac:dyDescent="0.2">
      <c r="J196" s="226"/>
      <c r="K196" s="226"/>
      <c r="L196" s="226"/>
      <c r="M196" s="226"/>
      <c r="N196" s="226"/>
      <c r="O196" s="226"/>
      <c r="P196" s="226"/>
      <c r="Q196" s="226"/>
      <c r="R196" s="226"/>
      <c r="S196" s="226"/>
      <c r="T196" s="226"/>
    </row>
    <row r="197" spans="10:20" ht="12.6" customHeight="1" x14ac:dyDescent="0.2">
      <c r="J197" s="226"/>
      <c r="K197" s="226"/>
      <c r="L197" s="226"/>
      <c r="M197" s="226"/>
      <c r="N197" s="226"/>
      <c r="O197" s="226"/>
      <c r="P197" s="226"/>
      <c r="Q197" s="226"/>
      <c r="R197" s="226"/>
      <c r="S197" s="226"/>
      <c r="T197" s="226"/>
    </row>
    <row r="198" spans="10:20" ht="12.6" customHeight="1" x14ac:dyDescent="0.2">
      <c r="J198" s="226"/>
      <c r="K198" s="226"/>
      <c r="L198" s="226"/>
      <c r="M198" s="226"/>
      <c r="N198" s="226"/>
      <c r="O198" s="226"/>
      <c r="P198" s="226"/>
      <c r="Q198" s="226"/>
      <c r="R198" s="226"/>
      <c r="S198" s="226"/>
      <c r="T198" s="226"/>
    </row>
    <row r="199" spans="10:20" ht="12.6" customHeight="1" x14ac:dyDescent="0.2">
      <c r="J199" s="226"/>
      <c r="K199" s="226"/>
      <c r="L199" s="226"/>
      <c r="M199" s="226"/>
      <c r="N199" s="226"/>
      <c r="O199" s="226"/>
      <c r="P199" s="226"/>
      <c r="Q199" s="226"/>
      <c r="R199" s="226"/>
      <c r="S199" s="226"/>
      <c r="T199" s="226"/>
    </row>
    <row r="200" spans="10:20" ht="12.6" customHeight="1" x14ac:dyDescent="0.2">
      <c r="J200" s="226"/>
      <c r="K200" s="226"/>
      <c r="L200" s="226"/>
      <c r="M200" s="226"/>
      <c r="N200" s="226"/>
      <c r="O200" s="226"/>
      <c r="P200" s="226"/>
      <c r="Q200" s="226"/>
      <c r="R200" s="226"/>
      <c r="S200" s="226"/>
      <c r="T200" s="226"/>
    </row>
    <row r="201" spans="10:20" ht="12.6" customHeight="1" x14ac:dyDescent="0.2">
      <c r="J201" s="226"/>
      <c r="K201" s="226"/>
      <c r="L201" s="226"/>
      <c r="M201" s="226"/>
      <c r="N201" s="226"/>
      <c r="O201" s="226"/>
      <c r="P201" s="226"/>
      <c r="Q201" s="226"/>
      <c r="R201" s="226"/>
      <c r="S201" s="226"/>
      <c r="T201" s="226"/>
    </row>
  </sheetData>
  <mergeCells count="6">
    <mergeCell ref="D8:F8"/>
    <mergeCell ref="D7:F7"/>
    <mergeCell ref="D10:F10"/>
    <mergeCell ref="D5:F5"/>
    <mergeCell ref="D9:F9"/>
    <mergeCell ref="D6:F6"/>
  </mergeCells>
  <dataValidations disablePrompts="1" count="1">
    <dataValidation type="list" allowBlank="1" showInputMessage="1" showErrorMessage="1" sqref="D16" xr:uid="{BE55BF23-199F-4DC2-8082-16417F9B545E}">
      <formula1>"0,1"</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5F08B-02D8-4BA6-A93D-C032A845A9B3}">
  <sheetPr>
    <tabColor theme="2"/>
  </sheetPr>
  <dimension ref="B2:V123"/>
  <sheetViews>
    <sheetView zoomScale="166" workbookViewId="0">
      <pane xSplit="5" ySplit="11" topLeftCell="N13" activePane="bottomRight" state="frozen"/>
      <selection pane="topRight" activeCell="E1" sqref="E1"/>
      <selection pane="bottomLeft" activeCell="A11" sqref="A11"/>
      <selection pane="bottomRight" activeCell="N16" sqref="N16:S16"/>
    </sheetView>
  </sheetViews>
  <sheetFormatPr defaultColWidth="8.625" defaultRowHeight="9.9499999999999993" customHeight="1" outlineLevelRow="1" outlineLevelCol="1" x14ac:dyDescent="0.2"/>
  <cols>
    <col min="1" max="2" width="4.625" style="8" customWidth="1"/>
    <col min="3" max="3" width="27.625" style="8" bestFit="1" customWidth="1"/>
    <col min="4" max="5" width="8.625" style="8" hidden="1" customWidth="1"/>
    <col min="6" max="6" width="7.625" style="8" hidden="1" customWidth="1"/>
    <col min="7" max="12" width="8.625" style="8" hidden="1" customWidth="1" outlineLevel="1"/>
    <col min="13" max="13" width="4.625" style="8" hidden="1" customWidth="1" outlineLevel="1"/>
    <col min="14" max="14" width="8.625" style="8" customWidth="1" collapsed="1"/>
    <col min="15" max="16378" width="8.625" style="8"/>
    <col min="16379" max="16379" width="8.625" style="8" bestFit="1"/>
    <col min="16380" max="16384" width="8.625" style="8"/>
  </cols>
  <sheetData>
    <row r="2" spans="2:19" ht="9.9499999999999993" customHeight="1" x14ac:dyDescent="0.2">
      <c r="C2" s="41" t="str">
        <f>Assumptions!$B$2</f>
        <v xml:space="preserve">A10 Networks, Inc. </v>
      </c>
      <c r="D2" s="41"/>
      <c r="E2" s="41"/>
      <c r="F2" s="41"/>
      <c r="G2" s="43"/>
      <c r="H2" s="44"/>
      <c r="I2" s="44"/>
      <c r="J2" s="44"/>
      <c r="K2" s="44"/>
      <c r="L2" s="44"/>
      <c r="M2" s="44"/>
      <c r="N2" s="44"/>
      <c r="O2" s="44"/>
      <c r="P2" s="44"/>
      <c r="Q2" s="44"/>
      <c r="R2" s="44"/>
      <c r="S2" s="44"/>
    </row>
    <row r="4" spans="2:19" ht="9.9499999999999993" customHeight="1" x14ac:dyDescent="0.2">
      <c r="C4" s="9" t="s">
        <v>136</v>
      </c>
      <c r="D4" s="19"/>
      <c r="E4" s="19"/>
    </row>
    <row r="5" spans="2:19" ht="4.3499999999999996" customHeight="1" x14ac:dyDescent="0.2">
      <c r="C5" s="9"/>
      <c r="D5" s="19"/>
      <c r="E5" s="19"/>
    </row>
    <row r="6" spans="2:19" ht="9.9499999999999993" customHeight="1" x14ac:dyDescent="0.2">
      <c r="C6" s="8" t="s">
        <v>23</v>
      </c>
      <c r="E6" s="476">
        <f>Assumptions!D14</f>
        <v>1</v>
      </c>
    </row>
    <row r="7" spans="2:19" ht="9.9499999999999993" customHeight="1" x14ac:dyDescent="0.2">
      <c r="C7" s="8" t="s">
        <v>24</v>
      </c>
      <c r="E7" s="476" t="str">
        <f ca="1">Assumptions!$D$21</f>
        <v>Base</v>
      </c>
    </row>
    <row r="8" spans="2:19" ht="9.9499999999999993" customHeight="1" x14ac:dyDescent="0.2">
      <c r="F8" s="19"/>
      <c r="G8" s="141">
        <v>45930</v>
      </c>
      <c r="H8" s="139">
        <f>EOMONTH(G8,3)</f>
        <v>46022</v>
      </c>
      <c r="I8" s="139">
        <f t="shared" ref="I8:L8" si="0">EOMONTH(H8,3)</f>
        <v>46112</v>
      </c>
      <c r="J8" s="139">
        <f t="shared" si="0"/>
        <v>46203</v>
      </c>
      <c r="K8" s="139">
        <f t="shared" si="0"/>
        <v>46295</v>
      </c>
      <c r="L8" s="139">
        <f t="shared" si="0"/>
        <v>46387</v>
      </c>
      <c r="N8" s="223">
        <f>(_xlfn.XLOOKUP(N11,F11:L11,F8:L8))</f>
        <v>45930</v>
      </c>
      <c r="O8" s="223">
        <f>(_xlfn.XLOOKUP(O11,G11:L11,G8:L8))</f>
        <v>46295</v>
      </c>
      <c r="P8" s="223">
        <f>EOMONTH(O8,12)</f>
        <v>46660</v>
      </c>
      <c r="Q8" s="223">
        <f t="shared" ref="Q8:R8" si="1">EOMONTH(P8,12)</f>
        <v>47026</v>
      </c>
      <c r="R8" s="223">
        <f t="shared" si="1"/>
        <v>47391</v>
      </c>
      <c r="S8" s="223">
        <f t="shared" ref="S8" si="2">EOMONTH(R8,12)</f>
        <v>47756</v>
      </c>
    </row>
    <row r="9" spans="2:19" ht="9.9499999999999993" hidden="1" customHeight="1" outlineLevel="1" x14ac:dyDescent="0.2">
      <c r="F9" s="19"/>
      <c r="G9" s="140">
        <f>YEAR(G8)</f>
        <v>2025</v>
      </c>
      <c r="H9" s="140">
        <f t="shared" ref="H9:L9" si="3">YEAR(H8)</f>
        <v>2025</v>
      </c>
      <c r="I9" s="140">
        <f t="shared" si="3"/>
        <v>2026</v>
      </c>
      <c r="J9" s="140">
        <f t="shared" si="3"/>
        <v>2026</v>
      </c>
      <c r="K9" s="140">
        <f t="shared" si="3"/>
        <v>2026</v>
      </c>
      <c r="L9" s="140">
        <f t="shared" si="3"/>
        <v>2026</v>
      </c>
      <c r="O9" s="140">
        <f t="shared" ref="O9" si="4">YEAR(O8)</f>
        <v>2026</v>
      </c>
      <c r="P9" s="140">
        <f t="shared" ref="P9" si="5">YEAR(P8)</f>
        <v>2027</v>
      </c>
      <c r="Q9" s="140">
        <f t="shared" ref="Q9" si="6">YEAR(Q8)</f>
        <v>2028</v>
      </c>
      <c r="R9" s="140">
        <f t="shared" ref="R9" si="7">YEAR(R8)</f>
        <v>2029</v>
      </c>
      <c r="S9" s="140">
        <f t="shared" ref="S9" si="8">YEAR(S8)</f>
        <v>2030</v>
      </c>
    </row>
    <row r="10" spans="2:19" ht="9.9499999999999993" customHeight="1" collapsed="1" x14ac:dyDescent="0.2">
      <c r="G10" s="140" t="str">
        <f t="shared" ref="G10:L10" si="9">"Q"&amp;ROUNDUP(MONTH(G8)/3,0)&amp;"'"&amp;TEXT(G8,"yy")</f>
        <v>Q3'25</v>
      </c>
      <c r="H10" s="140" t="str">
        <f t="shared" si="9"/>
        <v>Q4'25</v>
      </c>
      <c r="I10" s="140" t="str">
        <f t="shared" si="9"/>
        <v>Q1'26</v>
      </c>
      <c r="J10" s="140" t="str">
        <f t="shared" si="9"/>
        <v>Q2'26</v>
      </c>
      <c r="K10" s="140" t="str">
        <f t="shared" si="9"/>
        <v>Q3'26</v>
      </c>
      <c r="L10" s="140" t="str">
        <f t="shared" si="9"/>
        <v>Q4'26</v>
      </c>
      <c r="N10" s="140" t="str">
        <f t="shared" ref="N10:S10" si="10">"FY"&amp;"'"&amp;TEXT(N8,"yy")</f>
        <v>FY'25</v>
      </c>
      <c r="O10" s="140" t="str">
        <f t="shared" si="10"/>
        <v>FY'26</v>
      </c>
      <c r="P10" s="140" t="str">
        <f t="shared" si="10"/>
        <v>FY'27</v>
      </c>
      <c r="Q10" s="140" t="str">
        <f t="shared" si="10"/>
        <v>FY'28</v>
      </c>
      <c r="R10" s="140" t="str">
        <f t="shared" si="10"/>
        <v>FY'29</v>
      </c>
      <c r="S10" s="140" t="str">
        <f t="shared" si="10"/>
        <v>FY'30</v>
      </c>
    </row>
    <row r="11" spans="2:19" ht="9.9499999999999993" customHeight="1" x14ac:dyDescent="0.2">
      <c r="G11" s="142" t="s">
        <v>137</v>
      </c>
      <c r="H11" s="142" t="s">
        <v>137</v>
      </c>
      <c r="I11" s="142" t="s">
        <v>137</v>
      </c>
      <c r="J11" s="142" t="s">
        <v>137</v>
      </c>
      <c r="K11" s="143" t="s">
        <v>138</v>
      </c>
      <c r="L11" s="143" t="s">
        <v>138</v>
      </c>
      <c r="N11" s="142" t="s">
        <v>137</v>
      </c>
      <c r="O11" s="143" t="s">
        <v>138</v>
      </c>
      <c r="P11" s="143" t="s">
        <v>138</v>
      </c>
      <c r="Q11" s="143" t="s">
        <v>138</v>
      </c>
      <c r="R11" s="143" t="s">
        <v>138</v>
      </c>
      <c r="S11" s="143" t="s">
        <v>138</v>
      </c>
    </row>
    <row r="14" spans="2:19" ht="9.9499999999999993" customHeight="1" x14ac:dyDescent="0.2">
      <c r="B14" s="97" t="s">
        <v>7</v>
      </c>
      <c r="C14" s="132" t="s">
        <v>139</v>
      </c>
      <c r="D14" s="132"/>
      <c r="E14" s="132"/>
      <c r="F14" s="132"/>
      <c r="G14" s="146">
        <f>'Historical Financials'!X13</f>
        <v>74.682000000000002</v>
      </c>
      <c r="H14" s="146">
        <f>'Historical Financials'!Y13</f>
        <v>80.355000000000018</v>
      </c>
      <c r="I14" s="146">
        <f>'Historical Financials'!Z13</f>
        <v>75</v>
      </c>
      <c r="J14" s="146">
        <f>'Historical Financials'!AA13</f>
        <v>80.137</v>
      </c>
      <c r="K14" s="145">
        <f>SUM(K18,K24)</f>
        <v>0</v>
      </c>
      <c r="L14" s="145">
        <f>SUM(L18,L24)</f>
        <v>0</v>
      </c>
      <c r="M14"/>
      <c r="N14" s="146">
        <f>'Historical Financials'!H13</f>
        <v>290.55700000000002</v>
      </c>
      <c r="O14" s="145">
        <f ca="1">SUM(O18,O24)</f>
        <v>320.46115351538469</v>
      </c>
      <c r="P14" s="145">
        <f ca="1">SUM(P18,P24)</f>
        <v>363.85972700038417</v>
      </c>
      <c r="Q14" s="145">
        <f ca="1">SUM(Q18,Q24)</f>
        <v>432.01208660058126</v>
      </c>
      <c r="R14" s="145">
        <f ca="1">SUM(R18,R24)</f>
        <v>456.35914684928485</v>
      </c>
      <c r="S14" s="145">
        <f ca="1">SUM(S18,S24)</f>
        <v>483.56528836317995</v>
      </c>
    </row>
    <row r="15" spans="2:19" ht="4.3499999999999996" customHeight="1" x14ac:dyDescent="0.2">
      <c r="N15"/>
    </row>
    <row r="16" spans="2:19" ht="9.9499999999999993" customHeight="1" x14ac:dyDescent="0.2">
      <c r="C16" s="517" t="s">
        <v>140</v>
      </c>
      <c r="D16" s="361"/>
      <c r="E16" s="361"/>
      <c r="F16" s="361"/>
      <c r="G16" s="528"/>
      <c r="H16" s="528"/>
      <c r="I16" s="528"/>
      <c r="J16" s="528"/>
      <c r="K16" s="529"/>
      <c r="L16" s="361"/>
      <c r="M16" s="361"/>
      <c r="N16" s="582">
        <f>'Historical Financials'!H36</f>
        <v>0.11028445218879912</v>
      </c>
      <c r="O16" s="530">
        <f ca="1">O14/N14-1</f>
        <v>0.10292009318441719</v>
      </c>
      <c r="P16" s="530">
        <f t="shared" ref="P16:S16" ca="1" si="11">P14/O14-1</f>
        <v>0.13542537998421067</v>
      </c>
      <c r="Q16" s="530">
        <f ca="1">Q14/P14-1</f>
        <v>0.18730393759715303</v>
      </c>
      <c r="R16" s="530">
        <f t="shared" ca="1" si="11"/>
        <v>5.6357358981055095E-2</v>
      </c>
      <c r="S16" s="530">
        <f t="shared" ca="1" si="11"/>
        <v>5.9615637599743421E-2</v>
      </c>
    </row>
    <row r="17" spans="3:22" ht="9.9499999999999993" customHeight="1" x14ac:dyDescent="0.2">
      <c r="G17"/>
      <c r="H17"/>
      <c r="I17"/>
      <c r="J17"/>
      <c r="K17" s="147"/>
      <c r="N17"/>
      <c r="O17" s="425"/>
      <c r="U17" s="8" t="s">
        <v>141</v>
      </c>
    </row>
    <row r="18" spans="3:22" ht="9.9499999999999993" customHeight="1" x14ac:dyDescent="0.2">
      <c r="C18" s="442" t="s">
        <v>142</v>
      </c>
      <c r="D18" s="439"/>
      <c r="E18" s="439"/>
      <c r="F18" s="439"/>
      <c r="G18" s="510">
        <f>$U$18*G14</f>
        <v>28.379160000000002</v>
      </c>
      <c r="H18" s="510">
        <f t="shared" ref="H18:J18" si="12">$U$18*H14</f>
        <v>30.534900000000007</v>
      </c>
      <c r="I18" s="510">
        <f t="shared" si="12"/>
        <v>28.5</v>
      </c>
      <c r="J18" s="510">
        <f t="shared" si="12"/>
        <v>30.452059999999999</v>
      </c>
      <c r="K18" s="439"/>
      <c r="L18" s="439"/>
      <c r="N18" s="510">
        <f>N14*U18</f>
        <v>110.41166000000001</v>
      </c>
      <c r="O18" s="510">
        <f ca="1">(1+OFFSET(O19,$E$6,0))*N18</f>
        <v>130.03338363152344</v>
      </c>
      <c r="P18" s="510">
        <f ca="1">(1+OFFSET(P19,$E$6,0))*O18</f>
        <v>157.0817516498563</v>
      </c>
      <c r="Q18" s="510">
        <f t="shared" ref="Q18:S18" ca="1" si="13">(1+OFFSET(Q19,$E$6,0))*P18</f>
        <v>197.63169336333311</v>
      </c>
      <c r="R18" s="510">
        <f t="shared" ca="1" si="13"/>
        <v>221.39635333824742</v>
      </c>
      <c r="S18" s="510">
        <f t="shared" ca="1" si="13"/>
        <v>248.01864740065105</v>
      </c>
      <c r="U18" s="469">
        <v>0.38</v>
      </c>
    </row>
    <row r="19" spans="3:22" ht="8.4499999999999993" customHeight="1" x14ac:dyDescent="0.2">
      <c r="C19" s="441"/>
      <c r="D19" s="45"/>
      <c r="E19" s="45"/>
      <c r="F19" s="45"/>
      <c r="G19" s="414"/>
      <c r="H19" s="414"/>
      <c r="I19" s="414"/>
      <c r="J19" s="414"/>
      <c r="K19" s="45"/>
      <c r="L19" s="45"/>
      <c r="N19" s="414"/>
      <c r="O19" s="414"/>
      <c r="P19" s="414"/>
      <c r="Q19" s="414"/>
      <c r="R19" s="45"/>
      <c r="S19" s="45"/>
    </row>
    <row r="20" spans="3:22" ht="9.9499999999999993" customHeight="1" x14ac:dyDescent="0.2">
      <c r="C20" s="444" t="s">
        <v>25</v>
      </c>
      <c r="G20" s="310"/>
      <c r="H20" s="310">
        <f>H18/G18-1</f>
        <v>7.59620792158755E-2</v>
      </c>
      <c r="I20" s="310">
        <f t="shared" ref="I20:J20" si="14">I18/H18-1</f>
        <v>-6.6641777114056611E-2</v>
      </c>
      <c r="J20" s="310">
        <f t="shared" si="14"/>
        <v>6.8493333333333295E-2</v>
      </c>
      <c r="N20" s="485"/>
      <c r="O20" s="419">
        <f>27.7714234452443%+$U$20</f>
        <v>0.17771423445244297</v>
      </c>
      <c r="P20" s="419">
        <f>30.8010952748719%+$U$20</f>
        <v>0.20801095274871903</v>
      </c>
      <c r="Q20" s="419">
        <f>35.8145464304885%+$U$20</f>
        <v>0.25814546430488494</v>
      </c>
      <c r="R20" s="419">
        <f>22.0247211216394%+$U$20</f>
        <v>0.12024721121639398</v>
      </c>
      <c r="S20" s="485">
        <f>R20</f>
        <v>0.12024721121639398</v>
      </c>
      <c r="U20" s="469">
        <v>-0.1</v>
      </c>
    </row>
    <row r="21" spans="3:22" ht="9.9499999999999993" customHeight="1" x14ac:dyDescent="0.2">
      <c r="C21" s="444" t="s">
        <v>26</v>
      </c>
      <c r="G21" s="511"/>
      <c r="H21" s="511"/>
      <c r="I21" s="511"/>
      <c r="J21" s="511"/>
      <c r="O21" s="443">
        <f>O20+$U21</f>
        <v>0.12771423445244295</v>
      </c>
      <c r="P21" s="443">
        <f t="shared" ref="P21:S21" si="15">P20+$U21</f>
        <v>0.15801095274871901</v>
      </c>
      <c r="Q21" s="443">
        <f t="shared" si="15"/>
        <v>0.20814546430488495</v>
      </c>
      <c r="R21" s="443">
        <f t="shared" si="15"/>
        <v>7.0247211216393976E-2</v>
      </c>
      <c r="S21" s="443">
        <f t="shared" si="15"/>
        <v>7.0247211216393976E-2</v>
      </c>
      <c r="U21" s="469">
        <v>-0.05</v>
      </c>
    </row>
    <row r="22" spans="3:22" ht="9.9499999999999993" customHeight="1" x14ac:dyDescent="0.2">
      <c r="C22" s="444" t="s">
        <v>27</v>
      </c>
      <c r="G22" s="511"/>
      <c r="H22" s="511"/>
      <c r="I22" s="511"/>
      <c r="J22" s="511"/>
      <c r="O22" s="443">
        <f>O20+$U22</f>
        <v>0.22771423445244299</v>
      </c>
      <c r="P22" s="443">
        <f t="shared" ref="P22:S22" si="16">P20+$U22</f>
        <v>0.25801095274871905</v>
      </c>
      <c r="Q22" s="443">
        <f t="shared" si="16"/>
        <v>0.30814546430488493</v>
      </c>
      <c r="R22" s="443">
        <f t="shared" si="16"/>
        <v>0.17024721121639397</v>
      </c>
      <c r="S22" s="443">
        <f t="shared" si="16"/>
        <v>0.17024721121639397</v>
      </c>
      <c r="U22" s="469">
        <v>0.05</v>
      </c>
    </row>
    <row r="24" spans="3:22" ht="9.9499999999999993" customHeight="1" x14ac:dyDescent="0.2">
      <c r="C24" s="442" t="s">
        <v>143</v>
      </c>
      <c r="D24" s="439"/>
      <c r="E24" s="439"/>
      <c r="F24" s="439"/>
      <c r="G24" s="440"/>
      <c r="H24" s="440"/>
      <c r="I24" s="440"/>
      <c r="J24" s="440"/>
      <c r="K24" s="439"/>
      <c r="L24" s="439"/>
      <c r="M24"/>
      <c r="N24" s="510">
        <f>N14-N18</f>
        <v>180.14534</v>
      </c>
      <c r="O24" s="510">
        <f ca="1">(1+OFFSET(O25,$E$6,0))*N24*(1-(O32-N32))</f>
        <v>190.42776988386129</v>
      </c>
      <c r="P24" s="510">
        <f t="shared" ref="P24:S24" ca="1" si="17">(1+OFFSET(P25,$E$6,0))*O24*(1-(P32-O32))</f>
        <v>206.77797535052784</v>
      </c>
      <c r="Q24" s="510">
        <f t="shared" ca="1" si="17"/>
        <v>234.38039323724811</v>
      </c>
      <c r="R24" s="510">
        <f t="shared" ca="1" si="17"/>
        <v>234.96279351103743</v>
      </c>
      <c r="S24" s="510">
        <f t="shared" ca="1" si="17"/>
        <v>235.5466409625289</v>
      </c>
    </row>
    <row r="25" spans="3:22" ht="4.3499999999999996" customHeight="1" x14ac:dyDescent="0.2">
      <c r="H25"/>
      <c r="I25"/>
      <c r="J25"/>
    </row>
    <row r="26" spans="3:22" ht="9.9499999999999993" customHeight="1" x14ac:dyDescent="0.2">
      <c r="C26" s="444" t="s">
        <v>25</v>
      </c>
      <c r="G26" s="443"/>
      <c r="N26" s="423"/>
      <c r="O26" s="497">
        <f>O20+$U26</f>
        <v>0.11271423445244297</v>
      </c>
      <c r="P26" s="497">
        <f t="shared" ref="P26:S26" si="18">P20+$U26</f>
        <v>0.14301095274871903</v>
      </c>
      <c r="Q26" s="497">
        <f t="shared" si="18"/>
        <v>0.19314546430488494</v>
      </c>
      <c r="R26" s="497">
        <f t="shared" si="18"/>
        <v>5.5247211216393977E-2</v>
      </c>
      <c r="S26" s="497">
        <f t="shared" si="18"/>
        <v>5.5247211216393977E-2</v>
      </c>
      <c r="U26" s="469">
        <v>-6.5000000000000002E-2</v>
      </c>
      <c r="V26" s="8" t="s">
        <v>144</v>
      </c>
    </row>
    <row r="27" spans="3:22" ht="9.9499999999999993" customHeight="1" x14ac:dyDescent="0.2">
      <c r="C27" s="444" t="s">
        <v>26</v>
      </c>
      <c r="N27" s="485"/>
      <c r="O27" s="497">
        <f t="shared" ref="O27:S27" si="19">O21+$U27</f>
        <v>5.7714234452442947E-2</v>
      </c>
      <c r="P27" s="497">
        <f t="shared" si="19"/>
        <v>8.8010952748719007E-2</v>
      </c>
      <c r="Q27" s="497">
        <f t="shared" si="19"/>
        <v>0.13814546430488495</v>
      </c>
      <c r="R27" s="497">
        <f t="shared" si="19"/>
        <v>2.4721121639396937E-4</v>
      </c>
      <c r="S27" s="497">
        <f t="shared" si="19"/>
        <v>2.4721121639396937E-4</v>
      </c>
      <c r="U27" s="469">
        <v>-7.0000000000000007E-2</v>
      </c>
    </row>
    <row r="28" spans="3:22" ht="9.9499999999999993" customHeight="1" x14ac:dyDescent="0.2">
      <c r="C28" s="444" t="s">
        <v>27</v>
      </c>
      <c r="O28" s="497">
        <f t="shared" ref="O28:S28" si="20">O22+$U28</f>
        <v>0.16771423445244299</v>
      </c>
      <c r="P28" s="497">
        <f t="shared" si="20"/>
        <v>0.19801095274871905</v>
      </c>
      <c r="Q28" s="497">
        <f t="shared" si="20"/>
        <v>0.24814546430488493</v>
      </c>
      <c r="R28" s="497">
        <f t="shared" si="20"/>
        <v>0.11024721121639397</v>
      </c>
      <c r="S28" s="497">
        <f t="shared" si="20"/>
        <v>0.11024721121639397</v>
      </c>
      <c r="U28" s="469">
        <v>-0.06</v>
      </c>
    </row>
    <row r="29" spans="3:22" ht="9.9499999999999993" customHeight="1" x14ac:dyDescent="0.2">
      <c r="C29" s="444"/>
      <c r="O29" s="443"/>
      <c r="P29" s="443"/>
      <c r="Q29" s="443"/>
      <c r="R29" s="443"/>
      <c r="S29" s="443"/>
      <c r="U29"/>
    </row>
    <row r="30" spans="3:22" ht="9.9499999999999993" customHeight="1" x14ac:dyDescent="0.2">
      <c r="C30" s="518" t="s">
        <v>145</v>
      </c>
      <c r="D30" s="520"/>
      <c r="E30" s="520"/>
      <c r="F30" s="520"/>
      <c r="G30" s="521"/>
      <c r="H30" s="521"/>
      <c r="I30" s="521"/>
      <c r="J30" s="521"/>
      <c r="K30" s="520"/>
      <c r="L30" s="520"/>
      <c r="M30" s="522"/>
      <c r="N30" s="519">
        <f ca="1">OFFSET(N31,$E$6,0)</f>
        <v>0.38</v>
      </c>
      <c r="O30" s="519">
        <f t="shared" ref="O30:S30" ca="1" si="21">OFFSET(O31,$E$6,0)</f>
        <v>0.43</v>
      </c>
      <c r="P30" s="519">
        <f t="shared" ca="1" si="21"/>
        <v>0.48</v>
      </c>
      <c r="Q30" s="519">
        <f t="shared" ca="1" si="21"/>
        <v>0.53</v>
      </c>
      <c r="R30" s="519">
        <f t="shared" ca="1" si="21"/>
        <v>0.58000000000000007</v>
      </c>
      <c r="S30" s="519">
        <f t="shared" ca="1" si="21"/>
        <v>0.63000000000000012</v>
      </c>
    </row>
    <row r="31" spans="3:22" ht="4.3499999999999996" customHeight="1" x14ac:dyDescent="0.2">
      <c r="C31" s="525"/>
      <c r="D31" s="526"/>
      <c r="E31" s="526"/>
      <c r="F31" s="526"/>
      <c r="G31" s="527"/>
      <c r="H31" s="527"/>
      <c r="I31" s="527"/>
      <c r="J31" s="527"/>
      <c r="K31" s="526"/>
      <c r="L31" s="526"/>
      <c r="M31" s="522"/>
      <c r="N31" s="523"/>
      <c r="O31" s="523"/>
      <c r="P31" s="523"/>
      <c r="Q31" s="523"/>
      <c r="R31" s="523"/>
      <c r="S31" s="523"/>
    </row>
    <row r="32" spans="3:22" ht="9.9499999999999993" customHeight="1" x14ac:dyDescent="0.2">
      <c r="C32" s="444" t="s">
        <v>25</v>
      </c>
      <c r="N32" s="524">
        <f>38%</f>
        <v>0.38</v>
      </c>
      <c r="O32" s="443">
        <f>N32+$U$32</f>
        <v>0.43</v>
      </c>
      <c r="P32" s="443">
        <f t="shared" ref="P32:S32" si="22">O32+$U$32</f>
        <v>0.48</v>
      </c>
      <c r="Q32" s="443">
        <f t="shared" si="22"/>
        <v>0.53</v>
      </c>
      <c r="R32" s="443">
        <f t="shared" si="22"/>
        <v>0.58000000000000007</v>
      </c>
      <c r="S32" s="443">
        <f t="shared" si="22"/>
        <v>0.63000000000000012</v>
      </c>
      <c r="U32" s="595">
        <f>'OUT-DCF'!P46</f>
        <v>0.05</v>
      </c>
    </row>
    <row r="33" spans="2:21" ht="9.9499999999999993" customHeight="1" x14ac:dyDescent="0.2">
      <c r="C33" s="444" t="s">
        <v>26</v>
      </c>
      <c r="N33" s="497">
        <f>N32</f>
        <v>0.38</v>
      </c>
      <c r="O33" s="443">
        <f>N33+$U$33</f>
        <v>0.35499999999999998</v>
      </c>
      <c r="P33" s="443">
        <f t="shared" ref="P33:S33" si="23">O33+$U$33</f>
        <v>0.32999999999999996</v>
      </c>
      <c r="Q33" s="443">
        <f t="shared" si="23"/>
        <v>0.30499999999999994</v>
      </c>
      <c r="R33" s="443">
        <f t="shared" si="23"/>
        <v>0.27999999999999992</v>
      </c>
      <c r="S33" s="443">
        <f t="shared" si="23"/>
        <v>0.25499999999999989</v>
      </c>
      <c r="U33" s="469">
        <v>-2.5000000000000001E-2</v>
      </c>
    </row>
    <row r="34" spans="2:21" ht="9.9499999999999993" customHeight="1" x14ac:dyDescent="0.2">
      <c r="C34" s="444" t="s">
        <v>27</v>
      </c>
      <c r="N34" s="497">
        <f>N33</f>
        <v>0.38</v>
      </c>
      <c r="O34" s="443">
        <f>N34+$U$34</f>
        <v>0.45500000000000002</v>
      </c>
      <c r="P34" s="443">
        <f t="shared" ref="P34:S34" si="24">O34+$U$34</f>
        <v>0.53</v>
      </c>
      <c r="Q34" s="443">
        <f t="shared" si="24"/>
        <v>0.60499999999999998</v>
      </c>
      <c r="R34" s="443">
        <f t="shared" si="24"/>
        <v>0.67999999999999994</v>
      </c>
      <c r="S34" s="443">
        <f t="shared" si="24"/>
        <v>0.75499999999999989</v>
      </c>
      <c r="U34" s="469">
        <v>7.4999999999999997E-2</v>
      </c>
    </row>
    <row r="36" spans="2:21" ht="9.9499999999999993" customHeight="1" x14ac:dyDescent="0.15">
      <c r="B36" s="97" t="s">
        <v>7</v>
      </c>
      <c r="C36" s="132" t="s">
        <v>146</v>
      </c>
      <c r="D36" s="132"/>
      <c r="E36" s="132"/>
      <c r="F36" s="132"/>
      <c r="G36" s="308">
        <f>'Historical Financials'!X12</f>
        <v>31.573</v>
      </c>
      <c r="H36" s="308">
        <f>'Historical Financials'!Y12</f>
        <v>31.53</v>
      </c>
      <c r="I36" s="308">
        <f>'Historical Financials'!Z12</f>
        <v>31.013999999999999</v>
      </c>
      <c r="J36" s="308">
        <f>'Historical Financials'!AA12</f>
        <v>31.113</v>
      </c>
      <c r="K36" s="145"/>
      <c r="L36" s="145"/>
      <c r="N36" s="145">
        <f>'Historical Financials'!H12</f>
        <v>123.471</v>
      </c>
      <c r="O36" s="145">
        <f ca="1">(1+OFFSET(O37,$E$6,0))*N36</f>
        <v>126.75070575754542</v>
      </c>
      <c r="P36" s="145">
        <f ca="1">(1+OFFSET(P37,$E$6,0))*O36</f>
        <v>130.11752889371476</v>
      </c>
      <c r="Q36" s="145">
        <f ca="1">(1+OFFSET(Q37,$E$6,0))*P36</f>
        <v>133.57378346904255</v>
      </c>
      <c r="R36" s="145">
        <f ca="1">(1+OFFSET(R37,$E$6,0))*Q36</f>
        <v>137.12184501143344</v>
      </c>
      <c r="S36" s="145">
        <f ca="1">(1+OFFSET(S37,$E$6,0))*R36</f>
        <v>140.76415214889283</v>
      </c>
    </row>
    <row r="37" spans="2:21" ht="4.3499999999999996" customHeight="1" x14ac:dyDescent="0.2"/>
    <row r="38" spans="2:21" ht="9.9499999999999993" customHeight="1" x14ac:dyDescent="0.2">
      <c r="C38" s="8" t="s">
        <v>25</v>
      </c>
      <c r="G38" s="309">
        <f>'Historical Financials'!X35</f>
        <v>5.7403128035098172E-2</v>
      </c>
      <c r="H38" s="309">
        <f>'Historical Financials'!Y35</f>
        <v>2.1413068126599155E-2</v>
      </c>
      <c r="I38" s="309">
        <f>'Historical Financials'!Z35</f>
        <v>2.8383845082565085E-2</v>
      </c>
      <c r="J38" s="309">
        <f>'Historical Financials'!AA35</f>
        <v>2.989076464746776E-2</v>
      </c>
      <c r="N38" s="507">
        <f>'Historical Financials'!H35</f>
        <v>1.2912540915691162E-2</v>
      </c>
      <c r="O38" s="508">
        <f>AVERAGE('Historical Financials'!$Y$35:$AA$35)</f>
        <v>2.6562559285544001E-2</v>
      </c>
      <c r="P38" s="443">
        <f>O38</f>
        <v>2.6562559285544001E-2</v>
      </c>
      <c r="Q38" s="443">
        <f t="shared" ref="Q38:S38" si="25">P38</f>
        <v>2.6562559285544001E-2</v>
      </c>
      <c r="R38" s="443">
        <f t="shared" si="25"/>
        <v>2.6562559285544001E-2</v>
      </c>
      <c r="S38" s="443">
        <f t="shared" si="25"/>
        <v>2.6562559285544001E-2</v>
      </c>
      <c r="U38" s="19" t="s">
        <v>147</v>
      </c>
    </row>
    <row r="39" spans="2:21" ht="9.9499999999999993" customHeight="1" x14ac:dyDescent="0.2">
      <c r="C39" s="8" t="s">
        <v>26</v>
      </c>
      <c r="G39" s="310">
        <f t="shared" ref="G39:J40" si="26">G38</f>
        <v>5.7403128035098172E-2</v>
      </c>
      <c r="H39" s="310">
        <f t="shared" si="26"/>
        <v>2.1413068126599155E-2</v>
      </c>
      <c r="I39" s="310">
        <f t="shared" si="26"/>
        <v>2.8383845082565085E-2</v>
      </c>
      <c r="J39" s="310">
        <f t="shared" si="26"/>
        <v>2.989076464746776E-2</v>
      </c>
      <c r="O39" s="443">
        <f>O38+$U39</f>
        <v>2.2062559285544001E-2</v>
      </c>
      <c r="P39" s="443">
        <f t="shared" ref="P39:S40" si="27">O39+$U39</f>
        <v>1.7562559285544E-2</v>
      </c>
      <c r="Q39" s="443">
        <f t="shared" si="27"/>
        <v>1.3062559285544E-2</v>
      </c>
      <c r="R39" s="443">
        <f t="shared" si="27"/>
        <v>8.562559285543999E-3</v>
      </c>
      <c r="S39" s="443">
        <f t="shared" si="27"/>
        <v>4.0625592855439993E-3</v>
      </c>
      <c r="U39" s="469">
        <v>-4.4999999999999997E-3</v>
      </c>
    </row>
    <row r="40" spans="2:21" ht="9.9499999999999993" customHeight="1" x14ac:dyDescent="0.2">
      <c r="C40" s="8" t="s">
        <v>27</v>
      </c>
      <c r="G40" s="310">
        <f t="shared" si="26"/>
        <v>5.7403128035098172E-2</v>
      </c>
      <c r="H40" s="310">
        <f t="shared" si="26"/>
        <v>2.1413068126599155E-2</v>
      </c>
      <c r="I40" s="310">
        <f t="shared" si="26"/>
        <v>2.8383845082565085E-2</v>
      </c>
      <c r="J40" s="310">
        <f t="shared" si="26"/>
        <v>2.989076464746776E-2</v>
      </c>
      <c r="O40" s="443">
        <f>O38+$U40</f>
        <v>3.1062559285544002E-2</v>
      </c>
      <c r="P40" s="443">
        <f t="shared" si="27"/>
        <v>3.5562559285543999E-2</v>
      </c>
      <c r="Q40" s="443">
        <f t="shared" si="27"/>
        <v>4.0062559285543996E-2</v>
      </c>
      <c r="R40" s="443">
        <f t="shared" si="27"/>
        <v>4.4562559285543993E-2</v>
      </c>
      <c r="S40" s="443">
        <f t="shared" si="27"/>
        <v>4.906255928554399E-2</v>
      </c>
      <c r="U40" s="469">
        <v>4.4999999999999997E-3</v>
      </c>
    </row>
    <row r="42" spans="2:21" ht="9.9499999999999993" customHeight="1" x14ac:dyDescent="0.15">
      <c r="B42" s="97" t="s">
        <v>7</v>
      </c>
      <c r="C42" s="132" t="s">
        <v>148</v>
      </c>
      <c r="D42" s="132"/>
      <c r="E42" s="132"/>
      <c r="F42" s="132"/>
      <c r="G42" s="308">
        <f>'Historical Financials'!X11</f>
        <v>43.109000000000002</v>
      </c>
      <c r="H42" s="308">
        <f>'Historical Financials'!Y11</f>
        <v>48.825000000000017</v>
      </c>
      <c r="I42" s="308">
        <f>'Historical Financials'!Z11</f>
        <v>43.985999999999997</v>
      </c>
      <c r="J42" s="308">
        <f>'Historical Financials'!AA11</f>
        <v>49.024000000000001</v>
      </c>
      <c r="K42" s="145">
        <f>K14-K36</f>
        <v>0</v>
      </c>
      <c r="L42" s="145">
        <f>L14-L36</f>
        <v>0</v>
      </c>
      <c r="N42" s="146">
        <f>'Historical Financials'!H11</f>
        <v>167.08600000000001</v>
      </c>
      <c r="O42" s="145">
        <f ca="1">O14-O36</f>
        <v>193.71044775783929</v>
      </c>
      <c r="P42" s="145">
        <f ca="1">P14-P36</f>
        <v>233.74219810666941</v>
      </c>
      <c r="Q42" s="145">
        <f t="shared" ref="Q42:S42" ca="1" si="28">Q14-Q36</f>
        <v>298.4383031315387</v>
      </c>
      <c r="R42" s="145">
        <f t="shared" ca="1" si="28"/>
        <v>319.23730183785142</v>
      </c>
      <c r="S42" s="145">
        <f t="shared" ca="1" si="28"/>
        <v>342.80113621428711</v>
      </c>
    </row>
    <row r="43" spans="2:21" ht="9.9499999999999993" customHeight="1" x14ac:dyDescent="0.2">
      <c r="B43" s="97"/>
      <c r="C43" s="517" t="s">
        <v>140</v>
      </c>
      <c r="D43" s="361"/>
      <c r="E43" s="361"/>
      <c r="F43" s="361"/>
      <c r="G43" s="528"/>
      <c r="H43" s="528"/>
      <c r="I43" s="528"/>
      <c r="J43" s="528"/>
      <c r="K43" s="529"/>
      <c r="L43" s="361"/>
      <c r="M43" s="361"/>
      <c r="N43" s="531">
        <f>'Historical Financials'!H34</f>
        <v>0.19518737616148907</v>
      </c>
      <c r="O43" s="530">
        <f ca="1">O42/N42-1</f>
        <v>0.15934577258321636</v>
      </c>
      <c r="P43" s="530">
        <f t="shared" ref="P43:S43" ca="1" si="29">P42/O42-1</f>
        <v>0.20665767289369175</v>
      </c>
      <c r="Q43" s="530">
        <f t="shared" ca="1" si="29"/>
        <v>0.27678401909844674</v>
      </c>
      <c r="R43" s="530">
        <f t="shared" ca="1" si="29"/>
        <v>6.9692792406561122E-2</v>
      </c>
      <c r="S43" s="530">
        <f t="shared" ca="1" si="29"/>
        <v>7.3812910461210191E-2</v>
      </c>
    </row>
    <row r="44" spans="2:21" ht="9.9499999999999993" customHeight="1" x14ac:dyDescent="0.2">
      <c r="B44" s="97"/>
      <c r="C44"/>
      <c r="D44"/>
      <c r="E44"/>
      <c r="F44"/>
      <c r="G44"/>
      <c r="H44"/>
      <c r="I44"/>
      <c r="J44"/>
      <c r="K44"/>
      <c r="L44"/>
      <c r="N44"/>
      <c r="O44"/>
      <c r="P44"/>
      <c r="Q44"/>
      <c r="R44"/>
      <c r="S44"/>
    </row>
    <row r="45" spans="2:21" ht="9.9499999999999993" customHeight="1" x14ac:dyDescent="0.15">
      <c r="B45" s="97" t="s">
        <v>7</v>
      </c>
      <c r="C45" s="132" t="s">
        <v>149</v>
      </c>
      <c r="D45" s="132"/>
      <c r="E45" s="132"/>
      <c r="F45" s="132"/>
      <c r="G45" s="308">
        <f>'Historical Financials'!X14</f>
        <v>8.1010000000000009</v>
      </c>
      <c r="H45" s="308">
        <f>'Historical Financials'!Y14</f>
        <v>9.8419999999999987</v>
      </c>
      <c r="I45" s="308">
        <f>'Historical Financials'!Z14</f>
        <v>8.93</v>
      </c>
      <c r="J45" s="308">
        <f>'Historical Financials'!AA14</f>
        <v>10.079000000000001</v>
      </c>
      <c r="K45" s="145">
        <f ca="1">OFFSET(K46,$E$6,0)*K14</f>
        <v>0</v>
      </c>
      <c r="L45" s="145"/>
      <c r="N45" s="146">
        <f>'Historical Financials'!H14</f>
        <v>33.402999999999999</v>
      </c>
      <c r="O45" s="145">
        <f ca="1">(OFFSET(O46,$E$6,0))*O42</f>
        <v>38.725626841597169</v>
      </c>
      <c r="P45" s="145">
        <f ca="1">(OFFSET(P46,$E$6,0))*P42</f>
        <v>46.72857476603113</v>
      </c>
      <c r="Q45" s="145">
        <f ca="1">(OFFSET(Q46,$E$6,0))*Q42</f>
        <v>59.662297496515485</v>
      </c>
      <c r="R45" s="145">
        <f ca="1">(OFFSET(R46,$E$6,0))*R42</f>
        <v>63.820329610438634</v>
      </c>
      <c r="S45" s="145">
        <f ca="1">(OFFSET(S46,$E$6,0))*S42</f>
        <v>68.531093885578869</v>
      </c>
    </row>
    <row r="46" spans="2:21" ht="4.3499999999999996" customHeight="1" x14ac:dyDescent="0.2"/>
    <row r="47" spans="2:21" ht="9.9499999999999993" customHeight="1" x14ac:dyDescent="0.2">
      <c r="C47" s="8" t="s">
        <v>25</v>
      </c>
      <c r="G47" s="309">
        <f>'Historical Financials'!X37</f>
        <v>0.18791899603331091</v>
      </c>
      <c r="H47" s="309">
        <f>'Historical Financials'!Y37</f>
        <v>0.20157706093189953</v>
      </c>
      <c r="I47" s="309">
        <f>'Historical Financials'!Z37</f>
        <v>0.20301914245441732</v>
      </c>
      <c r="J47" s="309">
        <f>'Historical Financials'!AA37</f>
        <v>0.20559317885117495</v>
      </c>
      <c r="K47" s="419">
        <v>0.20499999999999999</v>
      </c>
      <c r="N47" s="423">
        <f>'Historical Financials'!H37</f>
        <v>0.19991501382521573</v>
      </c>
      <c r="O47" s="506">
        <f>N47</f>
        <v>0.19991501382521573</v>
      </c>
      <c r="P47" s="506">
        <f t="shared" ref="P47:S47" si="30">O47</f>
        <v>0.19991501382521573</v>
      </c>
      <c r="Q47" s="506">
        <f t="shared" si="30"/>
        <v>0.19991501382521573</v>
      </c>
      <c r="R47" s="506">
        <f t="shared" si="30"/>
        <v>0.19991501382521573</v>
      </c>
      <c r="S47" s="506">
        <f t="shared" si="30"/>
        <v>0.19991501382521573</v>
      </c>
      <c r="U47" s="19" t="s">
        <v>147</v>
      </c>
    </row>
    <row r="48" spans="2:21" ht="9.9499999999999993" customHeight="1" x14ac:dyDescent="0.2">
      <c r="C48" s="8" t="s">
        <v>26</v>
      </c>
      <c r="G48" s="310">
        <f t="shared" ref="G48:J49" si="31">G47</f>
        <v>0.18791899603331091</v>
      </c>
      <c r="H48" s="310">
        <f t="shared" si="31"/>
        <v>0.20157706093189953</v>
      </c>
      <c r="I48" s="310">
        <f t="shared" si="31"/>
        <v>0.20301914245441732</v>
      </c>
      <c r="J48" s="310">
        <f t="shared" si="31"/>
        <v>0.20559317885117495</v>
      </c>
      <c r="K48" s="147"/>
      <c r="O48" s="497">
        <f>O47+$U48</f>
        <v>0.20241501382521573</v>
      </c>
      <c r="P48" s="497">
        <f t="shared" ref="P48:S49" si="32">O48+$U48</f>
        <v>0.20491501382521574</v>
      </c>
      <c r="Q48" s="497">
        <f t="shared" si="32"/>
        <v>0.20741501382521574</v>
      </c>
      <c r="R48" s="497">
        <f t="shared" si="32"/>
        <v>0.20991501382521574</v>
      </c>
      <c r="S48" s="497">
        <f t="shared" si="32"/>
        <v>0.21241501382521574</v>
      </c>
      <c r="U48" s="469">
        <v>2.5000000000000001E-3</v>
      </c>
    </row>
    <row r="49" spans="2:21" ht="9.9499999999999993" customHeight="1" x14ac:dyDescent="0.2">
      <c r="C49" s="8" t="s">
        <v>27</v>
      </c>
      <c r="G49" s="310">
        <f t="shared" si="31"/>
        <v>0.18791899603331091</v>
      </c>
      <c r="H49" s="310">
        <f t="shared" si="31"/>
        <v>0.20157706093189953</v>
      </c>
      <c r="I49" s="310">
        <f t="shared" si="31"/>
        <v>0.20301914245441732</v>
      </c>
      <c r="J49" s="310">
        <f t="shared" si="31"/>
        <v>0.20559317885117495</v>
      </c>
      <c r="O49" s="497">
        <f>O48+$U49</f>
        <v>0.19991501382521573</v>
      </c>
      <c r="P49" s="497">
        <f t="shared" si="32"/>
        <v>0.19741501382521573</v>
      </c>
      <c r="Q49" s="497">
        <f t="shared" si="32"/>
        <v>0.19491501382521573</v>
      </c>
      <c r="R49" s="497">
        <f t="shared" si="32"/>
        <v>0.19241501382521572</v>
      </c>
      <c r="S49" s="497">
        <f t="shared" si="32"/>
        <v>0.18991501382521572</v>
      </c>
      <c r="U49" s="469">
        <v>-2.5000000000000001E-3</v>
      </c>
    </row>
    <row r="51" spans="2:21" ht="9.9499999999999993" customHeight="1" x14ac:dyDescent="0.15">
      <c r="B51" s="97" t="s">
        <v>7</v>
      </c>
      <c r="C51" s="132" t="s">
        <v>150</v>
      </c>
      <c r="D51" s="132"/>
      <c r="E51" s="132"/>
      <c r="F51" s="132"/>
      <c r="G51" s="308">
        <f>'Historical Financials'!X15</f>
        <v>6.7290000000000001</v>
      </c>
      <c r="H51" s="308">
        <f>'Historical Financials'!Y15</f>
        <v>7.2560000000000002</v>
      </c>
      <c r="I51" s="308">
        <f>'Historical Financials'!Z15</f>
        <v>6.3460000000000001</v>
      </c>
      <c r="J51" s="308">
        <f>'Historical Financials'!AA15</f>
        <v>6.6769999999999996</v>
      </c>
      <c r="K51" s="145"/>
      <c r="L51" s="145"/>
      <c r="N51" s="146">
        <f>'Historical Financials'!H15</f>
        <v>26.638999999999999</v>
      </c>
      <c r="O51" s="145">
        <f ca="1">(1+OFFSET(O52,$E$6,0))*N51</f>
        <v>27.346600016807606</v>
      </c>
      <c r="P51" s="145">
        <f ca="1">(1+OFFSET(P52,$E$6,0))*O51</f>
        <v>28.072995701012118</v>
      </c>
      <c r="Q51" s="145">
        <f ca="1">(1+OFFSET(Q52,$E$6,0))*P51</f>
        <v>28.818686313643077</v>
      </c>
      <c r="R51" s="145">
        <f ca="1">(1+OFFSET(R52,$E$6,0))*Q51</f>
        <v>29.584184377380719</v>
      </c>
      <c r="S51" s="145">
        <f ca="1">(1+OFFSET(S52,$E$6,0))*R51</f>
        <v>30.370016028819361</v>
      </c>
    </row>
    <row r="52" spans="2:21" ht="4.3499999999999996" customHeight="1" x14ac:dyDescent="0.2"/>
    <row r="53" spans="2:21" ht="9.9499999999999993" customHeight="1" x14ac:dyDescent="0.2">
      <c r="C53" s="8" t="s">
        <v>25</v>
      </c>
      <c r="G53" s="309">
        <f>'Historical Financials'!X38</f>
        <v>0.21312513856776361</v>
      </c>
      <c r="H53" s="309">
        <f>'Historical Financials'!Y38</f>
        <v>0.23013003488740882</v>
      </c>
      <c r="I53" s="309">
        <f>'Historical Financials'!Z38</f>
        <v>0.20461726962017154</v>
      </c>
      <c r="J53" s="309">
        <f>'Historical Financials'!AA38</f>
        <v>0.21460482756404076</v>
      </c>
      <c r="K53" s="420">
        <f>AVERAGE('Historical Financials'!F38:H38)</f>
        <v>0.17686022905026544</v>
      </c>
      <c r="N53" s="532"/>
      <c r="O53" s="533">
        <f>O38</f>
        <v>2.6562559285544001E-2</v>
      </c>
      <c r="P53" s="533">
        <f t="shared" ref="P53:S53" si="33">P38</f>
        <v>2.6562559285544001E-2</v>
      </c>
      <c r="Q53" s="533">
        <f t="shared" si="33"/>
        <v>2.6562559285544001E-2</v>
      </c>
      <c r="R53" s="533">
        <f t="shared" si="33"/>
        <v>2.6562559285544001E-2</v>
      </c>
      <c r="S53" s="533">
        <f t="shared" si="33"/>
        <v>2.6562559285544001E-2</v>
      </c>
      <c r="U53" s="19" t="s">
        <v>147</v>
      </c>
    </row>
    <row r="54" spans="2:21" ht="9.9499999999999993" customHeight="1" x14ac:dyDescent="0.2">
      <c r="C54" s="8" t="s">
        <v>26</v>
      </c>
      <c r="G54" s="310">
        <f t="shared" ref="G54:J55" si="34">G53</f>
        <v>0.21312513856776361</v>
      </c>
      <c r="H54" s="310">
        <f t="shared" si="34"/>
        <v>0.23013003488740882</v>
      </c>
      <c r="I54" s="310">
        <f t="shared" si="34"/>
        <v>0.20461726962017154</v>
      </c>
      <c r="J54" s="310">
        <f t="shared" si="34"/>
        <v>0.21460482756404076</v>
      </c>
      <c r="O54" s="497">
        <f>O53+$U54</f>
        <v>3.1562559285544002E-2</v>
      </c>
      <c r="P54" s="497">
        <f t="shared" ref="P54:S55" si="35">O54+$U54</f>
        <v>3.6562559285544E-2</v>
      </c>
      <c r="Q54" s="497">
        <f t="shared" si="35"/>
        <v>4.1562559285543997E-2</v>
      </c>
      <c r="R54" s="497">
        <f t="shared" si="35"/>
        <v>4.6562559285543995E-2</v>
      </c>
      <c r="S54" s="497">
        <f t="shared" si="35"/>
        <v>5.1562559285543992E-2</v>
      </c>
      <c r="U54" s="469">
        <v>5.0000000000000001E-3</v>
      </c>
    </row>
    <row r="55" spans="2:21" ht="9.9499999999999993" customHeight="1" x14ac:dyDescent="0.2">
      <c r="C55" s="8" t="s">
        <v>27</v>
      </c>
      <c r="G55" s="310">
        <f t="shared" si="34"/>
        <v>0.21312513856776361</v>
      </c>
      <c r="H55" s="310">
        <f t="shared" si="34"/>
        <v>0.23013003488740882</v>
      </c>
      <c r="I55" s="310">
        <f t="shared" si="34"/>
        <v>0.20461726962017154</v>
      </c>
      <c r="J55" s="310">
        <f t="shared" si="34"/>
        <v>0.21460482756404076</v>
      </c>
      <c r="O55" s="497">
        <f>O54+$U55</f>
        <v>2.9062559285544003E-2</v>
      </c>
      <c r="P55" s="497">
        <f t="shared" si="35"/>
        <v>2.6562559285544005E-2</v>
      </c>
      <c r="Q55" s="497">
        <f t="shared" si="35"/>
        <v>2.4062559285544006E-2</v>
      </c>
      <c r="R55" s="497">
        <f t="shared" si="35"/>
        <v>2.1562559285544007E-2</v>
      </c>
      <c r="S55" s="497">
        <f t="shared" si="35"/>
        <v>1.9062559285544008E-2</v>
      </c>
      <c r="U55" s="469">
        <v>-2.5000000000000001E-3</v>
      </c>
    </row>
    <row r="57" spans="2:21" ht="9.9499999999999993" customHeight="1" x14ac:dyDescent="0.15">
      <c r="B57" s="97" t="s">
        <v>7</v>
      </c>
      <c r="C57" s="132" t="s">
        <v>151</v>
      </c>
      <c r="D57" s="132"/>
      <c r="E57" s="132"/>
      <c r="F57" s="132"/>
      <c r="G57" s="308">
        <f>'Historical Financials'!X17</f>
        <v>21.530999999999999</v>
      </c>
      <c r="H57" s="308">
        <f>'Historical Financials'!Y17</f>
        <v>22.427</v>
      </c>
      <c r="I57" s="308">
        <f>'Historical Financials'!Z17</f>
        <v>20.013999999999999</v>
      </c>
      <c r="J57" s="308">
        <f>'Historical Financials'!AA17</f>
        <v>21.905000000000001</v>
      </c>
      <c r="K57" s="145"/>
      <c r="L57" s="145"/>
      <c r="N57" s="146">
        <f>'Historical Financials'!H17</f>
        <v>84.466999999999999</v>
      </c>
      <c r="O57" s="145">
        <f ca="1">(OFFSET(O58,$E$6,0))*O14</f>
        <v>89.620569360533921</v>
      </c>
      <c r="P57" s="145">
        <f t="shared" ref="P57:S57" ca="1" si="36">(OFFSET(P58,$E$6,0))*P14</f>
        <v>101.75746902058555</v>
      </c>
      <c r="Q57" s="145">
        <f t="shared" ca="1" si="36"/>
        <v>120.81704364806153</v>
      </c>
      <c r="R57" s="145">
        <f t="shared" ca="1" si="36"/>
        <v>127.62597314796513</v>
      </c>
      <c r="S57" s="145">
        <f t="shared" ca="1" si="36"/>
        <v>135.23447691146882</v>
      </c>
    </row>
    <row r="58" spans="2:21" ht="4.3499999999999996" customHeight="1" x14ac:dyDescent="0.2"/>
    <row r="59" spans="2:21" ht="9.9499999999999993" customHeight="1" x14ac:dyDescent="0.2">
      <c r="C59" s="8" t="s">
        <v>25</v>
      </c>
      <c r="G59" s="309">
        <f>'Historical Financials'!X39</f>
        <v>0.28830240218526548</v>
      </c>
      <c r="H59" s="309">
        <f>'Historical Financials'!Y39</f>
        <v>0.27909899819550738</v>
      </c>
      <c r="I59" s="309">
        <f>'Historical Financials'!Z39</f>
        <v>0.26685333333333333</v>
      </c>
      <c r="J59" s="309">
        <f>'Historical Financials'!AA39</f>
        <v>0.2733443977189064</v>
      </c>
      <c r="N59" s="507">
        <f>'Historical Financials'!H39</f>
        <v>0.29070715900838734</v>
      </c>
      <c r="O59" s="424">
        <f>AVERAGE(N59,G59:J59)</f>
        <v>0.27966125808828002</v>
      </c>
      <c r="P59" s="424">
        <f>O59</f>
        <v>0.27966125808828002</v>
      </c>
      <c r="Q59" s="424">
        <f t="shared" ref="Q59:S59" si="37">P59</f>
        <v>0.27966125808828002</v>
      </c>
      <c r="R59" s="424">
        <f t="shared" si="37"/>
        <v>0.27966125808828002</v>
      </c>
      <c r="S59" s="424">
        <f t="shared" si="37"/>
        <v>0.27966125808828002</v>
      </c>
      <c r="U59" s="19" t="s">
        <v>147</v>
      </c>
    </row>
    <row r="60" spans="2:21" ht="9.9499999999999993" customHeight="1" x14ac:dyDescent="0.2">
      <c r="C60" s="8" t="s">
        <v>26</v>
      </c>
      <c r="G60" s="310">
        <f t="shared" ref="G60:J61" si="38">G59</f>
        <v>0.28830240218526548</v>
      </c>
      <c r="H60" s="310">
        <f t="shared" si="38"/>
        <v>0.27909899819550738</v>
      </c>
      <c r="I60" s="310">
        <f t="shared" si="38"/>
        <v>0.26685333333333333</v>
      </c>
      <c r="J60" s="310">
        <f t="shared" si="38"/>
        <v>0.2733443977189064</v>
      </c>
      <c r="O60" s="443">
        <f>O59+$U60</f>
        <v>0.26966125808828001</v>
      </c>
      <c r="P60" s="443">
        <f>O60+$U60</f>
        <v>0.25966125808828</v>
      </c>
      <c r="Q60" s="443">
        <f>P60+$U60</f>
        <v>0.24966125808827999</v>
      </c>
      <c r="R60" s="443">
        <f>Q60+$U60</f>
        <v>0.23966125808827998</v>
      </c>
      <c r="S60" s="443">
        <f>R60+$U60</f>
        <v>0.22966125808827997</v>
      </c>
      <c r="U60" s="469">
        <v>-0.01</v>
      </c>
    </row>
    <row r="61" spans="2:21" ht="9.9499999999999993" customHeight="1" x14ac:dyDescent="0.2">
      <c r="C61" s="8" t="s">
        <v>27</v>
      </c>
      <c r="G61" s="310">
        <f t="shared" si="38"/>
        <v>0.28830240218526548</v>
      </c>
      <c r="H61" s="310">
        <f t="shared" si="38"/>
        <v>0.27909899819550738</v>
      </c>
      <c r="I61" s="310">
        <f t="shared" si="38"/>
        <v>0.26685333333333333</v>
      </c>
      <c r="J61" s="310">
        <f t="shared" si="38"/>
        <v>0.2733443977189064</v>
      </c>
      <c r="O61" s="443">
        <f>O59+$U61</f>
        <v>0.28966125808828003</v>
      </c>
      <c r="P61" s="443">
        <f t="shared" ref="P61:S61" si="39">P59+$U61</f>
        <v>0.28966125808828003</v>
      </c>
      <c r="Q61" s="443">
        <f t="shared" si="39"/>
        <v>0.28966125808828003</v>
      </c>
      <c r="R61" s="443">
        <f t="shared" si="39"/>
        <v>0.28966125808828003</v>
      </c>
      <c r="S61" s="443">
        <f t="shared" si="39"/>
        <v>0.28966125808828003</v>
      </c>
      <c r="U61" s="469">
        <v>0.01</v>
      </c>
    </row>
    <row r="63" spans="2:21" ht="9.9499999999999993" customHeight="1" x14ac:dyDescent="0.15">
      <c r="B63" s="97" t="s">
        <v>7</v>
      </c>
      <c r="C63" s="132" t="s">
        <v>152</v>
      </c>
      <c r="D63" s="132"/>
      <c r="E63" s="132"/>
      <c r="F63" s="132"/>
      <c r="G63" s="308">
        <f>'Historical Financials'!X18</f>
        <v>18.376999999999999</v>
      </c>
      <c r="H63" s="308">
        <f>'Historical Financials'!Y18</f>
        <v>18.570999999999998</v>
      </c>
      <c r="I63" s="308">
        <f>'Historical Financials'!Z18</f>
        <v>19.018000000000001</v>
      </c>
      <c r="J63" s="308">
        <f>'Historical Financials'!AA18</f>
        <v>21.152999999999999</v>
      </c>
      <c r="K63" s="145"/>
      <c r="L63" s="145"/>
      <c r="N63" s="146">
        <f>'Historical Financials'!H18</f>
        <v>69.103999999999999</v>
      </c>
      <c r="O63" s="145">
        <f ca="1">(OFFSET(O64,$E$6,0))*O14</f>
        <v>80.115288378846174</v>
      </c>
      <c r="P63" s="145">
        <f ca="1">(OFFSET(P64,$E$6,0))*P14</f>
        <v>81.868438575086444</v>
      </c>
      <c r="Q63" s="145">
        <f ca="1">(OFFSET(Q64,$E$6,0))*Q14</f>
        <v>86.402417320116257</v>
      </c>
      <c r="R63" s="145">
        <f ca="1">(OFFSET(R64,$E$6,0))*R14</f>
        <v>79.862850698624854</v>
      </c>
      <c r="S63" s="145">
        <f ca="1">(OFFSET(S64,$E$6,0))*S14</f>
        <v>72.534793254477009</v>
      </c>
    </row>
    <row r="64" spans="2:21" ht="4.3499999999999996" customHeight="1" x14ac:dyDescent="0.2"/>
    <row r="65" spans="2:21" ht="9.9499999999999993" customHeight="1" x14ac:dyDescent="0.2">
      <c r="C65" s="8" t="s">
        <v>25</v>
      </c>
      <c r="G65" s="309">
        <f>'Historical Financials'!X40</f>
        <v>0.24607000348142791</v>
      </c>
      <c r="H65" s="309">
        <f>'Historical Financials'!Y40</f>
        <v>0.2311119407628647</v>
      </c>
      <c r="I65" s="309">
        <f>'Historical Financials'!Z40</f>
        <v>0.25357333333333332</v>
      </c>
      <c r="J65" s="309">
        <f>'Historical Financials'!AA40</f>
        <v>0.26396046769906534</v>
      </c>
      <c r="N65" s="423">
        <f>'Historical Financials'!H40</f>
        <v>0.23783285207377552</v>
      </c>
      <c r="O65" s="420">
        <v>0.25</v>
      </c>
      <c r="P65" s="443">
        <f>O65+$U$65</f>
        <v>0.22500000000000001</v>
      </c>
      <c r="Q65" s="443">
        <f t="shared" ref="Q65:S65" si="40">P65+$U$65</f>
        <v>0.2</v>
      </c>
      <c r="R65" s="443">
        <f t="shared" si="40"/>
        <v>0.17500000000000002</v>
      </c>
      <c r="S65" s="443">
        <f t="shared" si="40"/>
        <v>0.15000000000000002</v>
      </c>
      <c r="U65" s="469">
        <f>-2.5%</f>
        <v>-2.5000000000000001E-2</v>
      </c>
    </row>
    <row r="66" spans="2:21" ht="9.9499999999999993" customHeight="1" x14ac:dyDescent="0.2">
      <c r="C66" s="8" t="s">
        <v>26</v>
      </c>
      <c r="G66" s="310">
        <f t="shared" ref="G66:J67" si="41">G65</f>
        <v>0.24607000348142791</v>
      </c>
      <c r="H66" s="310">
        <f t="shared" si="41"/>
        <v>0.2311119407628647</v>
      </c>
      <c r="I66" s="310">
        <f t="shared" si="41"/>
        <v>0.25357333333333332</v>
      </c>
      <c r="J66" s="310">
        <f t="shared" si="41"/>
        <v>0.26396046769906534</v>
      </c>
      <c r="O66" s="443">
        <f>O$65+$U66</f>
        <v>0.23</v>
      </c>
      <c r="P66" s="443">
        <f t="shared" ref="P66:S67" si="42">P$65+$U66</f>
        <v>0.20500000000000002</v>
      </c>
      <c r="Q66" s="443">
        <f t="shared" si="42"/>
        <v>0.18000000000000002</v>
      </c>
      <c r="R66" s="443">
        <f t="shared" si="42"/>
        <v>0.15500000000000003</v>
      </c>
      <c r="S66" s="443">
        <f t="shared" si="42"/>
        <v>0.13000000000000003</v>
      </c>
      <c r="U66" s="469">
        <v>-0.02</v>
      </c>
    </row>
    <row r="67" spans="2:21" ht="9.9499999999999993" customHeight="1" x14ac:dyDescent="0.2">
      <c r="C67" s="8" t="s">
        <v>27</v>
      </c>
      <c r="G67" s="310">
        <f t="shared" si="41"/>
        <v>0.24607000348142791</v>
      </c>
      <c r="H67" s="310">
        <f t="shared" si="41"/>
        <v>0.2311119407628647</v>
      </c>
      <c r="I67" s="310">
        <f t="shared" si="41"/>
        <v>0.25357333333333332</v>
      </c>
      <c r="J67" s="310">
        <f t="shared" si="41"/>
        <v>0.26396046769906534</v>
      </c>
      <c r="O67" s="443">
        <f>O$65+$U67</f>
        <v>0.27</v>
      </c>
      <c r="P67" s="443">
        <f t="shared" si="42"/>
        <v>0.245</v>
      </c>
      <c r="Q67" s="443">
        <f t="shared" si="42"/>
        <v>0.22</v>
      </c>
      <c r="R67" s="443">
        <f t="shared" si="42"/>
        <v>0.19500000000000001</v>
      </c>
      <c r="S67" s="443">
        <f t="shared" si="42"/>
        <v>0.17</v>
      </c>
      <c r="U67" s="469">
        <v>0.02</v>
      </c>
    </row>
    <row r="69" spans="2:21" ht="9.9499999999999993" customHeight="1" x14ac:dyDescent="0.15">
      <c r="B69" s="97" t="s">
        <v>7</v>
      </c>
      <c r="C69" s="132" t="s">
        <v>153</v>
      </c>
      <c r="D69" s="132"/>
      <c r="E69" s="132"/>
      <c r="F69" s="132"/>
      <c r="G69" s="308">
        <f>'Historical Financials'!X19</f>
        <v>6.95</v>
      </c>
      <c r="H69" s="308">
        <f>'Historical Financials'!Y19</f>
        <v>7.1999999999999993</v>
      </c>
      <c r="I69" s="308">
        <f>'Historical Financials'!Z19</f>
        <v>7.6929999999999996</v>
      </c>
      <c r="J69" s="308">
        <f>'Historical Financials'!AA19</f>
        <v>11.298999999999999</v>
      </c>
      <c r="K69" s="145"/>
      <c r="L69" s="145"/>
      <c r="N69" s="146">
        <f>'Historical Financials'!H19</f>
        <v>29.802</v>
      </c>
      <c r="O69" s="145">
        <f ca="1">(OFFSET(O70,$E$6,0))*O14</f>
        <v>32.046115351538468</v>
      </c>
      <c r="P69" s="145">
        <f ca="1">(1+OFFSET(P70,$E$6,0))*O69</f>
        <v>35.25072688669232</v>
      </c>
      <c r="Q69" s="145">
        <f ca="1">(1+OFFSET(Q70,$E$6,0))*P69</f>
        <v>38.775799575361553</v>
      </c>
      <c r="R69" s="145">
        <f ca="1">(1+OFFSET(R70,$E$6,0))*Q69</f>
        <v>42.653379532897709</v>
      </c>
      <c r="S69" s="145">
        <f ca="1">(1+OFFSET(S70,$E$6,0))*R69</f>
        <v>46.918717486187482</v>
      </c>
    </row>
    <row r="70" spans="2:21" ht="4.3499999999999996" customHeight="1" x14ac:dyDescent="0.2"/>
    <row r="71" spans="2:21" ht="9.9499999999999993" customHeight="1" x14ac:dyDescent="0.2">
      <c r="C71" s="8" t="s">
        <v>25</v>
      </c>
      <c r="G71" s="309">
        <f>'Historical Financials'!X41</f>
        <v>9.3061246351195739E-2</v>
      </c>
      <c r="H71" s="309">
        <f>'Historical Financials'!Y41</f>
        <v>8.9602389397050564E-2</v>
      </c>
      <c r="I71" s="309">
        <f>'Historical Financials'!Z41</f>
        <v>0.10257333333333332</v>
      </c>
      <c r="J71" s="309">
        <f>'Historical Financials'!AA41</f>
        <v>0.14099604427418047</v>
      </c>
      <c r="N71" s="423">
        <f>'Historical Financials'!H41</f>
        <v>0.10256851495575739</v>
      </c>
      <c r="O71" s="420">
        <v>0.1</v>
      </c>
      <c r="P71" s="443">
        <f>O71</f>
        <v>0.1</v>
      </c>
      <c r="Q71" s="443">
        <f t="shared" ref="Q71:S71" si="43">P71</f>
        <v>0.1</v>
      </c>
      <c r="R71" s="443">
        <f t="shared" si="43"/>
        <v>0.1</v>
      </c>
      <c r="S71" s="443">
        <f t="shared" si="43"/>
        <v>0.1</v>
      </c>
      <c r="U71" s="19" t="s">
        <v>147</v>
      </c>
    </row>
    <row r="72" spans="2:21" ht="9.9499999999999993" customHeight="1" x14ac:dyDescent="0.2">
      <c r="C72" s="8" t="s">
        <v>26</v>
      </c>
      <c r="G72" s="310">
        <f t="shared" ref="G72:J73" si="44">G71</f>
        <v>9.3061246351195739E-2</v>
      </c>
      <c r="H72" s="310">
        <f t="shared" si="44"/>
        <v>8.9602389397050564E-2</v>
      </c>
      <c r="I72" s="310">
        <f t="shared" si="44"/>
        <v>0.10257333333333332</v>
      </c>
      <c r="J72" s="310">
        <f t="shared" si="44"/>
        <v>0.14099604427418047</v>
      </c>
      <c r="O72" s="443">
        <f>O71+$U72</f>
        <v>7.6395540311249704E-2</v>
      </c>
      <c r="P72" s="443">
        <f t="shared" ref="P72:S72" si="45">P71+$U72</f>
        <v>7.6395540311249704E-2</v>
      </c>
      <c r="Q72" s="443">
        <f t="shared" si="45"/>
        <v>7.6395540311249704E-2</v>
      </c>
      <c r="R72" s="443">
        <f t="shared" si="45"/>
        <v>7.6395540311249704E-2</v>
      </c>
      <c r="S72" s="443">
        <f t="shared" si="45"/>
        <v>7.6395540311249704E-2</v>
      </c>
      <c r="U72" s="469">
        <f>-STDEV('Historical Financials'!X41:AA41)</f>
        <v>-2.3604459688750305E-2</v>
      </c>
    </row>
    <row r="73" spans="2:21" ht="9.9499999999999993" customHeight="1" x14ac:dyDescent="0.2">
      <c r="C73" s="8" t="s">
        <v>27</v>
      </c>
      <c r="G73" s="310">
        <f t="shared" si="44"/>
        <v>9.3061246351195739E-2</v>
      </c>
      <c r="H73" s="310">
        <f t="shared" si="44"/>
        <v>8.9602389397050564E-2</v>
      </c>
      <c r="I73" s="310">
        <f t="shared" si="44"/>
        <v>0.10257333333333332</v>
      </c>
      <c r="J73" s="310">
        <f t="shared" si="44"/>
        <v>0.14099604427418047</v>
      </c>
      <c r="O73" s="443">
        <f>O71+$U73</f>
        <v>0.12360445968875031</v>
      </c>
      <c r="P73" s="443">
        <f t="shared" ref="P73:S73" si="46">P71+$U73</f>
        <v>0.12360445968875031</v>
      </c>
      <c r="Q73" s="443">
        <f t="shared" si="46"/>
        <v>0.12360445968875031</v>
      </c>
      <c r="R73" s="443">
        <f t="shared" si="46"/>
        <v>0.12360445968875031</v>
      </c>
      <c r="S73" s="443">
        <f t="shared" si="46"/>
        <v>0.12360445968875031</v>
      </c>
      <c r="U73" s="469">
        <f>STDEV('Historical Financials'!X41:AA41)</f>
        <v>2.3604459688750305E-2</v>
      </c>
    </row>
    <row r="75" spans="2:21" ht="9.9499999999999993" customHeight="1" x14ac:dyDescent="0.15">
      <c r="B75" s="97" t="s">
        <v>7</v>
      </c>
      <c r="C75" s="132" t="s">
        <v>154</v>
      </c>
      <c r="D75" s="132"/>
      <c r="E75" s="132"/>
      <c r="F75" s="132"/>
      <c r="G75" s="132"/>
      <c r="H75" s="132"/>
      <c r="I75" s="132"/>
      <c r="J75" s="132"/>
      <c r="K75" s="132"/>
      <c r="L75" s="132"/>
      <c r="N75" s="509">
        <v>1.341</v>
      </c>
      <c r="O75" s="509">
        <v>2.4729999999999999</v>
      </c>
      <c r="P75" s="509">
        <v>3.2789999999999999</v>
      </c>
      <c r="Q75" s="509">
        <v>3.2789999999999999</v>
      </c>
      <c r="R75" s="509">
        <v>3.1970000000000001</v>
      </c>
      <c r="S75" s="509">
        <v>2.0249999999999999</v>
      </c>
    </row>
    <row r="76" spans="2:21" ht="4.3499999999999996" customHeight="1" x14ac:dyDescent="0.2"/>
    <row r="78" spans="2:21" ht="9.9499999999999993" customHeight="1" x14ac:dyDescent="0.15">
      <c r="B78" s="97" t="s">
        <v>7</v>
      </c>
      <c r="C78" s="132" t="s">
        <v>155</v>
      </c>
      <c r="D78" s="132"/>
      <c r="E78" s="132"/>
      <c r="F78" s="132"/>
      <c r="G78" s="308">
        <f>'Historical Financials'!X21</f>
        <v>3.3860000000000001</v>
      </c>
      <c r="H78" s="308">
        <f>'Historical Financials'!Y21</f>
        <v>3.4579999999999984</v>
      </c>
      <c r="I78" s="308">
        <f>'Historical Financials'!Z21</f>
        <v>3.383</v>
      </c>
      <c r="J78" s="308">
        <f>'Historical Financials'!AA21</f>
        <v>3.32</v>
      </c>
      <c r="K78" s="145"/>
      <c r="L78" s="145"/>
      <c r="N78" s="146">
        <f>'Historical Financials'!H21</f>
        <v>11.628</v>
      </c>
      <c r="O78" s="145">
        <f ca="1">(1+OFFSET(O79,$E$6,0))*N78</f>
        <v>12.093348912605787</v>
      </c>
      <c r="P78" s="145">
        <f ca="1">(1+OFFSET(P79,$E$6,0))*O78</f>
        <v>12.577320942726486</v>
      </c>
      <c r="Q78" s="145">
        <f ca="1">(1+OFFSET(Q79,$E$6,0))*P78</f>
        <v>13.080661381683466</v>
      </c>
      <c r="R78" s="145">
        <f ca="1">(1+OFFSET(R79,$E$6,0))*Q78</f>
        <v>13.604145347123001</v>
      </c>
      <c r="S78" s="145">
        <f ca="1">(1+OFFSET(S79,$E$6,0))*R78</f>
        <v>14.148578976656436</v>
      </c>
    </row>
    <row r="79" spans="2:21" ht="4.3499999999999996" customHeight="1" x14ac:dyDescent="0.2"/>
    <row r="80" spans="2:21" ht="9.9499999999999993" customHeight="1" x14ac:dyDescent="0.2">
      <c r="C80" s="8" t="s">
        <v>25</v>
      </c>
      <c r="G80" s="309">
        <f>'Historical Financials'!X42</f>
        <v>4.5338903618007013E-2</v>
      </c>
      <c r="H80" s="309">
        <f>'Historical Financials'!Y42</f>
        <v>4.3034036463194543E-2</v>
      </c>
      <c r="I80" s="309">
        <f>'Historical Financials'!Z42</f>
        <v>4.510666666666667E-2</v>
      </c>
      <c r="J80" s="309">
        <f>'Historical Financials'!AA42</f>
        <v>4.1429052747170465E-2</v>
      </c>
      <c r="N80" s="423">
        <f>'Historical Financials'!H42</f>
        <v>4.0019686326607171E-2</v>
      </c>
      <c r="O80" s="147">
        <f>N80</f>
        <v>4.0019686326607171E-2</v>
      </c>
      <c r="P80" s="147">
        <f t="shared" ref="P80:S80" si="47">O80</f>
        <v>4.0019686326607171E-2</v>
      </c>
      <c r="Q80" s="147">
        <f t="shared" si="47"/>
        <v>4.0019686326607171E-2</v>
      </c>
      <c r="R80" s="147">
        <f t="shared" si="47"/>
        <v>4.0019686326607171E-2</v>
      </c>
      <c r="S80" s="147">
        <f t="shared" si="47"/>
        <v>4.0019686326607171E-2</v>
      </c>
      <c r="U80" s="19" t="s">
        <v>147</v>
      </c>
    </row>
    <row r="81" spans="2:21" ht="9.9499999999999993" customHeight="1" x14ac:dyDescent="0.2">
      <c r="C81" s="8" t="s">
        <v>26</v>
      </c>
      <c r="G81" s="310">
        <f t="shared" ref="G81:J82" si="48">G80</f>
        <v>4.5338903618007013E-2</v>
      </c>
      <c r="H81" s="310">
        <f t="shared" si="48"/>
        <v>4.3034036463194543E-2</v>
      </c>
      <c r="I81" s="310">
        <f t="shared" si="48"/>
        <v>4.510666666666667E-2</v>
      </c>
      <c r="J81" s="310">
        <f t="shared" si="48"/>
        <v>4.1429052747170465E-2</v>
      </c>
      <c r="O81" s="443">
        <f>O80+$U81</f>
        <v>3.8170139236438833E-2</v>
      </c>
      <c r="P81" s="443">
        <f t="shared" ref="P81:S82" si="49">O81+$U81</f>
        <v>3.6320592146270494E-2</v>
      </c>
      <c r="Q81" s="443">
        <f t="shared" si="49"/>
        <v>3.4471045056102156E-2</v>
      </c>
      <c r="R81" s="443">
        <f t="shared" si="49"/>
        <v>3.2621497965933818E-2</v>
      </c>
      <c r="S81" s="443">
        <f t="shared" si="49"/>
        <v>3.0771950875765477E-2</v>
      </c>
      <c r="U81" s="469">
        <f>-STDEV('Historical Financials'!X42:AA42)</f>
        <v>-1.8495470901683405E-3</v>
      </c>
    </row>
    <row r="82" spans="2:21" ht="9.9499999999999993" customHeight="1" x14ac:dyDescent="0.2">
      <c r="C82" s="8" t="s">
        <v>27</v>
      </c>
      <c r="G82" s="310">
        <f t="shared" si="48"/>
        <v>4.5338903618007013E-2</v>
      </c>
      <c r="H82" s="310">
        <f t="shared" si="48"/>
        <v>4.3034036463194543E-2</v>
      </c>
      <c r="I82" s="310">
        <f t="shared" si="48"/>
        <v>4.510666666666667E-2</v>
      </c>
      <c r="J82" s="310">
        <f t="shared" si="48"/>
        <v>4.1429052747170465E-2</v>
      </c>
      <c r="O82" s="443">
        <f>O81+$U82</f>
        <v>4.0019686326607171E-2</v>
      </c>
      <c r="P82" s="443">
        <f t="shared" si="49"/>
        <v>4.1869233416775509E-2</v>
      </c>
      <c r="Q82" s="443">
        <f t="shared" si="49"/>
        <v>4.3718780506943847E-2</v>
      </c>
      <c r="R82" s="443">
        <f t="shared" si="49"/>
        <v>4.5568327597112185E-2</v>
      </c>
      <c r="S82" s="443">
        <f t="shared" si="49"/>
        <v>4.7417874687280523E-2</v>
      </c>
      <c r="U82" s="469">
        <f>STDEV('Historical Financials'!X42:AA42)</f>
        <v>1.8495470901683405E-3</v>
      </c>
    </row>
    <row r="84" spans="2:21" ht="9.9499999999999993" customHeight="1" x14ac:dyDescent="0.15">
      <c r="B84" s="97" t="s">
        <v>7</v>
      </c>
      <c r="C84" s="132" t="s">
        <v>156</v>
      </c>
      <c r="D84" s="132"/>
      <c r="E84" s="132"/>
      <c r="F84" s="132"/>
      <c r="G84" s="132">
        <f>'Historical Financials'!X107</f>
        <v>3.7989999999999995</v>
      </c>
      <c r="H84" s="132">
        <f>'Historical Financials'!Y107</f>
        <v>3.9830000000000005</v>
      </c>
      <c r="I84" s="132">
        <f>'Historical Financials'!Z107</f>
        <v>3.9689999999999999</v>
      </c>
      <c r="J84" s="132">
        <f>'Historical Financials'!AA107</f>
        <v>4.4489999999999998</v>
      </c>
      <c r="K84" s="132"/>
      <c r="L84" s="132"/>
      <c r="N84" s="145">
        <f>'Historical Financials'!H107</f>
        <v>14.859</v>
      </c>
      <c r="O84" s="145">
        <f ca="1">(OFFSET(O85,$E$6,0))*O14</f>
        <v>16.388289664627255</v>
      </c>
      <c r="P84" s="145">
        <f t="shared" ref="P84:S84" ca="1" si="50">(OFFSET(P85,$E$6,0))*P14</f>
        <v>18.607680019750713</v>
      </c>
      <c r="Q84" s="145">
        <f t="shared" ca="1" si="50"/>
        <v>22.092971756997891</v>
      </c>
      <c r="R84" s="145">
        <f t="shared" ca="1" si="50"/>
        <v>23.338073297265332</v>
      </c>
      <c r="S84" s="145">
        <f t="shared" ca="1" si="50"/>
        <v>24.729387417231354</v>
      </c>
    </row>
    <row r="85" spans="2:21" ht="4.3499999999999996" customHeight="1" x14ac:dyDescent="0.2"/>
    <row r="86" spans="2:21" ht="9.9499999999999993" customHeight="1" x14ac:dyDescent="0.2">
      <c r="C86" s="8" t="s">
        <v>25</v>
      </c>
      <c r="N86" s="423">
        <f>'Historical Financials'!H148</f>
        <v>5.1139707527266591E-2</v>
      </c>
      <c r="O86" s="497">
        <f>N86</f>
        <v>5.1139707527266591E-2</v>
      </c>
      <c r="P86" s="497">
        <f>O86</f>
        <v>5.1139707527266591E-2</v>
      </c>
      <c r="Q86" s="497">
        <f>P86</f>
        <v>5.1139707527266591E-2</v>
      </c>
      <c r="R86" s="497">
        <f>Q86</f>
        <v>5.1139707527266591E-2</v>
      </c>
      <c r="S86" s="497">
        <f>R86</f>
        <v>5.1139707527266591E-2</v>
      </c>
      <c r="U86" s="19" t="s">
        <v>147</v>
      </c>
    </row>
    <row r="87" spans="2:21" ht="9.9499999999999993" customHeight="1" x14ac:dyDescent="0.2">
      <c r="C87" s="8" t="s">
        <v>26</v>
      </c>
      <c r="O87" s="443">
        <f>O86+$U87</f>
        <v>4.854331984235586E-2</v>
      </c>
      <c r="P87" s="443">
        <f>O87+$U87</f>
        <v>4.5946932157445129E-2</v>
      </c>
      <c r="Q87" s="443">
        <f>P87+$U87</f>
        <v>4.3350544472534398E-2</v>
      </c>
      <c r="R87" s="443">
        <f>Q87+$U87</f>
        <v>4.0754156787623667E-2</v>
      </c>
      <c r="S87" s="443">
        <f>R87+$U87</f>
        <v>3.8157769102712936E-2</v>
      </c>
      <c r="U87" s="469">
        <f>-STDEV('Historical Financials'!X148:AA148)</f>
        <v>-2.5963876849107296E-3</v>
      </c>
    </row>
    <row r="88" spans="2:21" ht="9.9499999999999993" customHeight="1" x14ac:dyDescent="0.2">
      <c r="C88" s="8" t="s">
        <v>27</v>
      </c>
      <c r="O88" s="443">
        <f>O86+$U88</f>
        <v>5.3736095212177322E-2</v>
      </c>
      <c r="P88" s="443">
        <f t="shared" ref="P88:S88" si="51">P86+$U88</f>
        <v>5.3736095212177322E-2</v>
      </c>
      <c r="Q88" s="443">
        <f t="shared" si="51"/>
        <v>5.3736095212177322E-2</v>
      </c>
      <c r="R88" s="443">
        <f t="shared" si="51"/>
        <v>5.3736095212177322E-2</v>
      </c>
      <c r="S88" s="443">
        <f t="shared" si="51"/>
        <v>5.3736095212177322E-2</v>
      </c>
      <c r="U88" s="469">
        <f>STDEV('Historical Financials'!X148:AA148)</f>
        <v>2.5963876849107296E-3</v>
      </c>
    </row>
    <row r="90" spans="2:21" ht="9.9499999999999993" customHeight="1" x14ac:dyDescent="0.15">
      <c r="B90" s="97" t="s">
        <v>7</v>
      </c>
      <c r="C90" s="132" t="s">
        <v>157</v>
      </c>
      <c r="D90" s="132"/>
      <c r="E90" s="132"/>
      <c r="F90" s="132"/>
      <c r="G90" s="132"/>
      <c r="H90" s="132"/>
      <c r="I90" s="132"/>
      <c r="J90" s="132"/>
      <c r="K90" s="132"/>
      <c r="L90" s="132"/>
      <c r="N90" s="146">
        <f>-'Historical Financials'!H125</f>
        <v>20.128</v>
      </c>
      <c r="O90" s="145">
        <f ca="1">(OFFSET(O$92,$E$6,0))*O$14</f>
        <v>20.597269868039024</v>
      </c>
      <c r="P90" s="145">
        <f t="shared" ref="P90:S90" ca="1" si="52">(OFFSET(P$92,$E$6,0))*P$14</f>
        <v>21.567364331553623</v>
      </c>
      <c r="Q90" s="145">
        <f t="shared" ca="1" si="52"/>
        <v>23.446956161443101</v>
      </c>
      <c r="R90" s="145">
        <f t="shared" ca="1" si="52"/>
        <v>22.486568952600187</v>
      </c>
      <c r="S90" s="145">
        <f t="shared" ca="1" si="52"/>
        <v>21.409293656324145</v>
      </c>
    </row>
    <row r="91" spans="2:21" ht="4.3499999999999996" customHeight="1" x14ac:dyDescent="0.2"/>
    <row r="92" spans="2:21" ht="9.9499999999999993" customHeight="1" x14ac:dyDescent="0.2">
      <c r="C92" s="8" t="s">
        <v>25</v>
      </c>
      <c r="N92" s="534">
        <f>N90/N14</f>
        <v>6.9273842998103644E-2</v>
      </c>
      <c r="O92" s="497">
        <f>N92</f>
        <v>6.9273842998103644E-2</v>
      </c>
      <c r="P92" s="497">
        <f>O92</f>
        <v>6.9273842998103644E-2</v>
      </c>
      <c r="Q92" s="497">
        <f>P92</f>
        <v>6.9273842998103644E-2</v>
      </c>
      <c r="R92" s="497">
        <f>Q92</f>
        <v>6.9273842998103644E-2</v>
      </c>
      <c r="S92" s="497">
        <f>R92</f>
        <v>6.9273842998103644E-2</v>
      </c>
      <c r="U92" s="19" t="s">
        <v>147</v>
      </c>
    </row>
    <row r="93" spans="2:21" ht="9.9499999999999993" customHeight="1" x14ac:dyDescent="0.2">
      <c r="C93" s="8" t="s">
        <v>26</v>
      </c>
      <c r="O93" s="443">
        <f>O92+$U93</f>
        <v>6.4273842998103639E-2</v>
      </c>
      <c r="P93" s="443">
        <f>O93+$U93</f>
        <v>5.9273842998103642E-2</v>
      </c>
      <c r="Q93" s="443">
        <f>P93+$U93</f>
        <v>5.4273842998103644E-2</v>
      </c>
      <c r="R93" s="443">
        <f>Q93+$U93</f>
        <v>4.9273842998103647E-2</v>
      </c>
      <c r="S93" s="443">
        <f>R93+$U93</f>
        <v>4.4273842998103649E-2</v>
      </c>
      <c r="U93" s="469">
        <v>-5.0000000000000001E-3</v>
      </c>
    </row>
    <row r="94" spans="2:21" ht="9.9499999999999993" customHeight="1" x14ac:dyDescent="0.2">
      <c r="C94" s="8" t="s">
        <v>27</v>
      </c>
      <c r="O94" s="443">
        <f>O92+$U94</f>
        <v>7.4273842998103648E-2</v>
      </c>
      <c r="P94" s="443">
        <f t="shared" ref="P94:S94" si="53">P92+$U94</f>
        <v>7.4273842998103648E-2</v>
      </c>
      <c r="Q94" s="443">
        <f t="shared" si="53"/>
        <v>7.4273842998103648E-2</v>
      </c>
      <c r="R94" s="443">
        <f t="shared" si="53"/>
        <v>7.4273842998103648E-2</v>
      </c>
      <c r="S94" s="443">
        <f t="shared" si="53"/>
        <v>7.4273842998103648E-2</v>
      </c>
      <c r="U94" s="469">
        <v>5.0000000000000001E-3</v>
      </c>
    </row>
    <row r="96" spans="2:21" ht="9.9499999999999993" customHeight="1" x14ac:dyDescent="0.15">
      <c r="B96" s="97" t="s">
        <v>7</v>
      </c>
      <c r="C96" s="132" t="s">
        <v>158</v>
      </c>
      <c r="D96" s="132"/>
      <c r="E96" s="132"/>
      <c r="F96" s="132"/>
      <c r="G96" s="132"/>
      <c r="H96" s="132"/>
      <c r="I96" s="132"/>
      <c r="J96" s="132"/>
      <c r="K96" s="132"/>
      <c r="L96" s="132"/>
      <c r="N96" s="146">
        <f>'NWC Calc'!F18</f>
        <v>-23.706000000000003</v>
      </c>
      <c r="O96" s="146">
        <f ca="1">'NWC Calc'!G18</f>
        <v>-1.9929943917048547</v>
      </c>
      <c r="P96" s="146">
        <f ca="1">'NWC Calc'!H18</f>
        <v>-4.4229038354414172</v>
      </c>
      <c r="Q96" s="146">
        <f ca="1">'NWC Calc'!I18</f>
        <v>-8.5270261975639983</v>
      </c>
      <c r="R96" s="146">
        <f ca="1">'NWC Calc'!J18</f>
        <v>-3.9800100960360965</v>
      </c>
      <c r="S96" s="146">
        <f ca="1">'NWC Calc'!K18</f>
        <v>-4.8902447436039154</v>
      </c>
    </row>
    <row r="97" spans="2:19" ht="4.3499999999999996" customHeight="1" x14ac:dyDescent="0.2"/>
    <row r="99" spans="2:19" ht="9.9499999999999993" customHeight="1" x14ac:dyDescent="0.2">
      <c r="C99" s="442" t="s">
        <v>159</v>
      </c>
      <c r="D99" s="439"/>
      <c r="E99" s="439"/>
      <c r="F99" s="439"/>
      <c r="G99" s="440"/>
      <c r="H99" s="440"/>
      <c r="I99" s="440"/>
      <c r="J99" s="440"/>
      <c r="K99" s="439"/>
      <c r="L99" s="439"/>
      <c r="N99" s="440"/>
      <c r="O99" s="440"/>
      <c r="P99" s="440"/>
      <c r="Q99" s="440"/>
      <c r="R99" s="440"/>
      <c r="S99" s="440"/>
    </row>
    <row r="100" spans="2:19" ht="4.3499999999999996" customHeight="1" x14ac:dyDescent="0.2">
      <c r="C100" s="441"/>
      <c r="D100" s="45"/>
      <c r="E100" s="45"/>
      <c r="F100" s="45"/>
      <c r="G100" s="414"/>
      <c r="H100" s="414"/>
      <c r="I100" s="414"/>
      <c r="J100" s="414"/>
      <c r="K100" s="45"/>
      <c r="L100" s="45"/>
      <c r="N100" s="414"/>
      <c r="O100" s="414"/>
      <c r="P100" s="414"/>
      <c r="Q100" s="414"/>
      <c r="R100" s="45"/>
      <c r="S100" s="45"/>
    </row>
    <row r="101" spans="2:19" ht="9.9499999999999993" customHeight="1" x14ac:dyDescent="0.2">
      <c r="C101" s="444" t="s">
        <v>25</v>
      </c>
      <c r="G101" s="443"/>
      <c r="H101"/>
      <c r="I101"/>
      <c r="J101"/>
      <c r="N101" s="485">
        <v>0.27816917162553301</v>
      </c>
      <c r="O101" s="485">
        <v>0.27816917162553301</v>
      </c>
      <c r="P101" s="485">
        <v>0.27816917162553301</v>
      </c>
      <c r="Q101" s="485">
        <v>0.27816917162553301</v>
      </c>
      <c r="R101" s="485">
        <v>0.27816917162553301</v>
      </c>
      <c r="S101" s="485">
        <v>0.27816917162553301</v>
      </c>
    </row>
    <row r="102" spans="2:19" ht="9.9499999999999993" customHeight="1" x14ac:dyDescent="0.2">
      <c r="B102"/>
      <c r="C102" s="444" t="s">
        <v>26</v>
      </c>
      <c r="O102" s="443"/>
      <c r="P102" s="443"/>
      <c r="Q102" s="443"/>
      <c r="R102" s="443"/>
      <c r="S102" s="443"/>
    </row>
    <row r="103" spans="2:19" ht="9.9499999999999993" customHeight="1" x14ac:dyDescent="0.2">
      <c r="B103"/>
      <c r="C103" s="444" t="s">
        <v>27</v>
      </c>
      <c r="O103" s="443"/>
      <c r="P103" s="443"/>
      <c r="Q103" s="443"/>
      <c r="R103" s="443"/>
      <c r="S103" s="443"/>
    </row>
    <row r="104" spans="2:19" ht="9.9499999999999993" customHeight="1" x14ac:dyDescent="0.2">
      <c r="B104"/>
      <c r="C104" s="444"/>
      <c r="G104" s="443"/>
      <c r="H104"/>
      <c r="I104"/>
      <c r="J104"/>
      <c r="N104" s="485"/>
      <c r="O104" s="485"/>
      <c r="P104" s="485"/>
      <c r="Q104" s="485"/>
      <c r="R104" s="485"/>
      <c r="S104" s="485"/>
    </row>
    <row r="105" spans="2:19" ht="9.9499999999999993" customHeight="1" x14ac:dyDescent="0.2">
      <c r="B105"/>
      <c r="C105" s="444"/>
      <c r="O105" s="443"/>
      <c r="P105" s="443"/>
      <c r="Q105" s="443"/>
      <c r="R105" s="443"/>
      <c r="S105" s="443"/>
    </row>
    <row r="106" spans="2:19" ht="9.9499999999999993" customHeight="1" x14ac:dyDescent="0.2">
      <c r="B106"/>
      <c r="C106" s="444"/>
      <c r="O106" s="443"/>
      <c r="P106" s="443"/>
      <c r="Q106" s="443"/>
      <c r="R106" s="443"/>
      <c r="S106" s="443"/>
    </row>
    <row r="107" spans="2:19" ht="14.45" customHeight="1" x14ac:dyDescent="0.2">
      <c r="B107"/>
      <c r="C107"/>
      <c r="D107" s="426"/>
      <c r="E107" s="426"/>
      <c r="F107" s="426"/>
      <c r="G107" s="426"/>
      <c r="H107" s="426"/>
      <c r="I107" s="426"/>
      <c r="J107" s="426"/>
      <c r="K107" s="426"/>
      <c r="L107" s="426"/>
      <c r="M107"/>
      <c r="N107"/>
      <c r="O107"/>
      <c r="P107"/>
      <c r="Q107"/>
      <c r="R107"/>
      <c r="S107"/>
    </row>
    <row r="108" spans="2:19" ht="14.45" customHeight="1" x14ac:dyDescent="0.2">
      <c r="C108"/>
      <c r="D108" s="445"/>
      <c r="E108" s="445"/>
      <c r="F108" s="445"/>
      <c r="G108" s="445"/>
      <c r="H108" s="445"/>
      <c r="I108" s="445"/>
      <c r="J108" s="445"/>
      <c r="K108" s="445"/>
      <c r="L108" s="445"/>
    </row>
    <row r="109" spans="2:19" ht="14.45" customHeight="1" x14ac:dyDescent="0.2">
      <c r="C109" s="426"/>
      <c r="D109" s="516"/>
      <c r="E109" s="516"/>
      <c r="F109" s="516"/>
      <c r="G109" s="516"/>
      <c r="H109" s="515"/>
      <c r="I109" s="515"/>
      <c r="J109" s="515"/>
      <c r="K109" s="515"/>
      <c r="L109" s="515"/>
    </row>
    <row r="110" spans="2:19" ht="14.45" customHeight="1" x14ac:dyDescent="0.2">
      <c r="C110" s="426"/>
      <c r="D110" s="516"/>
      <c r="E110" s="516"/>
      <c r="F110" s="516"/>
      <c r="G110" s="516"/>
      <c r="H110" s="515"/>
      <c r="I110" s="515"/>
      <c r="J110" s="515"/>
      <c r="K110" s="515"/>
      <c r="L110" s="515"/>
    </row>
    <row r="111" spans="2:19" ht="14.45" customHeight="1" x14ac:dyDescent="0.2">
      <c r="C111" s="426"/>
      <c r="D111" s="516"/>
      <c r="E111" s="516"/>
      <c r="F111" s="516"/>
      <c r="G111" s="516"/>
      <c r="H111" s="515"/>
      <c r="I111" s="515"/>
      <c r="J111" s="515"/>
      <c r="K111" s="515"/>
      <c r="L111" s="515"/>
    </row>
    <row r="112" spans="2:19" ht="14.45" customHeight="1" x14ac:dyDescent="0.2">
      <c r="C112"/>
      <c r="D112" s="515"/>
      <c r="E112" s="515"/>
      <c r="F112" s="515"/>
      <c r="G112" s="515"/>
      <c r="H112" s="515"/>
      <c r="I112" s="515"/>
      <c r="J112" s="515"/>
      <c r="K112" s="515"/>
      <c r="L112" s="515"/>
    </row>
    <row r="113" spans="3:12" ht="14.45" customHeight="1" x14ac:dyDescent="0.2">
      <c r="C113" s="426"/>
      <c r="D113" s="516"/>
      <c r="E113" s="516"/>
      <c r="F113" s="516"/>
      <c r="G113" s="516"/>
      <c r="H113" s="515"/>
      <c r="I113" s="515"/>
      <c r="J113" s="515"/>
      <c r="K113" s="515"/>
      <c r="L113" s="515"/>
    </row>
    <row r="114" spans="3:12" ht="14.45" customHeight="1" x14ac:dyDescent="0.2">
      <c r="C114" s="426"/>
      <c r="D114" s="516"/>
      <c r="E114" s="516"/>
      <c r="F114" s="516"/>
      <c r="G114" s="516"/>
      <c r="H114" s="515"/>
      <c r="I114" s="515"/>
      <c r="J114" s="515"/>
      <c r="K114" s="515"/>
      <c r="L114" s="515"/>
    </row>
    <row r="115" spans="3:12" ht="14.45" customHeight="1" x14ac:dyDescent="0.2">
      <c r="C115" s="426"/>
      <c r="D115" s="515"/>
      <c r="E115" s="515"/>
      <c r="F115" s="515"/>
      <c r="G115" s="515"/>
      <c r="H115" s="515"/>
      <c r="I115" s="515"/>
      <c r="J115" s="515"/>
      <c r="K115" s="515"/>
      <c r="L115" s="515"/>
    </row>
    <row r="116" spans="3:12" ht="14.45" customHeight="1" x14ac:dyDescent="0.2">
      <c r="C116"/>
      <c r="D116"/>
      <c r="E116"/>
      <c r="F116"/>
      <c r="G116"/>
      <c r="H116"/>
      <c r="I116"/>
      <c r="J116"/>
      <c r="K116"/>
      <c r="L116"/>
    </row>
    <row r="117" spans="3:12" ht="14.45" customHeight="1" x14ac:dyDescent="0.2">
      <c r="C117" s="426"/>
      <c r="D117" s="516"/>
      <c r="E117" s="516"/>
      <c r="F117" s="516"/>
      <c r="G117" s="516"/>
      <c r="H117" s="512"/>
      <c r="I117" s="512"/>
      <c r="J117" s="512"/>
      <c r="K117" s="512"/>
      <c r="L117" s="512"/>
    </row>
    <row r="118" spans="3:12" ht="14.45" customHeight="1" x14ac:dyDescent="0.2">
      <c r="C118" s="426"/>
      <c r="D118" s="516"/>
      <c r="E118" s="516"/>
      <c r="F118" s="516"/>
      <c r="G118" s="516"/>
      <c r="H118" s="515"/>
      <c r="I118" s="515"/>
      <c r="J118" s="515"/>
      <c r="K118" s="515"/>
      <c r="L118" s="515"/>
    </row>
    <row r="119" spans="3:12" ht="14.45" customHeight="1" x14ac:dyDescent="0.2">
      <c r="C119" s="426"/>
      <c r="D119" s="516"/>
      <c r="E119" s="516"/>
      <c r="F119" s="516"/>
      <c r="G119" s="516"/>
      <c r="H119" s="515"/>
      <c r="I119" s="515"/>
      <c r="J119" s="515"/>
      <c r="K119" s="515"/>
      <c r="L119" s="515"/>
    </row>
    <row r="120" spans="3:12" ht="14.45" customHeight="1" x14ac:dyDescent="0.2">
      <c r="C120"/>
      <c r="D120"/>
      <c r="E120"/>
      <c r="F120"/>
      <c r="G120"/>
      <c r="H120"/>
      <c r="I120"/>
      <c r="J120"/>
      <c r="K120"/>
      <c r="L120"/>
    </row>
    <row r="121" spans="3:12" ht="14.45" customHeight="1" x14ac:dyDescent="0.2">
      <c r="C121" s="426"/>
      <c r="D121" s="446"/>
      <c r="E121" s="446"/>
      <c r="F121" s="446"/>
      <c r="G121" s="446"/>
      <c r="H121" s="448"/>
      <c r="I121" s="448"/>
      <c r="J121" s="448"/>
      <c r="K121" s="448"/>
      <c r="L121" s="448"/>
    </row>
    <row r="122" spans="3:12" ht="14.45" customHeight="1" x14ac:dyDescent="0.2">
      <c r="C122" s="426"/>
      <c r="D122" s="446"/>
      <c r="E122" s="446"/>
      <c r="F122" s="446"/>
      <c r="G122" s="446"/>
      <c r="H122" s="448"/>
      <c r="I122" s="448"/>
      <c r="J122" s="448"/>
      <c r="K122" s="448"/>
      <c r="L122" s="448"/>
    </row>
    <row r="123" spans="3:12" ht="14.45" customHeight="1" x14ac:dyDescent="0.2">
      <c r="C123" s="426"/>
      <c r="D123" s="448"/>
      <c r="E123" s="448"/>
      <c r="F123" s="448"/>
      <c r="G123" s="448"/>
      <c r="H123" s="448"/>
      <c r="I123" s="448"/>
      <c r="J123" s="448"/>
      <c r="K123" s="448"/>
      <c r="L123" s="448"/>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496C-5239-4DE8-A89F-89A7507BA81B}">
  <sheetPr>
    <tabColor theme="2"/>
    <pageSetUpPr fitToPage="1"/>
  </sheetPr>
  <dimension ref="A2:K53"/>
  <sheetViews>
    <sheetView showGridLines="0" view="pageBreakPreview" topLeftCell="A2" zoomScaleNormal="100" zoomScaleSheetLayoutView="100" workbookViewId="0">
      <selection activeCell="M4" sqref="M4"/>
    </sheetView>
  </sheetViews>
  <sheetFormatPr defaultColWidth="8.875" defaultRowHeight="14.25" x14ac:dyDescent="0.2"/>
  <cols>
    <col min="2" max="2" width="21.375" bestFit="1" customWidth="1"/>
    <col min="3" max="11" width="11" customWidth="1"/>
  </cols>
  <sheetData>
    <row r="2" spans="1:11" x14ac:dyDescent="0.2">
      <c r="B2" s="41" t="str">
        <f>Assumptions!$B$2</f>
        <v xml:space="preserve">A10 Networks, Inc. </v>
      </c>
      <c r="C2" s="41"/>
      <c r="D2" s="41"/>
      <c r="E2" s="41"/>
      <c r="F2" s="43"/>
      <c r="G2" s="44"/>
      <c r="H2" s="44"/>
      <c r="I2" s="44"/>
      <c r="J2" s="44"/>
      <c r="K2" s="44"/>
    </row>
    <row r="3" spans="1:11" x14ac:dyDescent="0.2">
      <c r="B3" s="193"/>
      <c r="C3" s="193"/>
      <c r="D3" s="193"/>
      <c r="E3" s="193"/>
      <c r="F3" s="134"/>
      <c r="G3" s="45"/>
      <c r="H3" s="45"/>
      <c r="I3" s="45"/>
      <c r="J3" s="45"/>
      <c r="K3" s="45"/>
    </row>
    <row r="4" spans="1:11" x14ac:dyDescent="0.2">
      <c r="A4" s="97" t="s">
        <v>160</v>
      </c>
      <c r="B4" s="558"/>
      <c r="C4" s="158" t="s">
        <v>158</v>
      </c>
      <c r="D4" s="278"/>
      <c r="E4" s="278"/>
      <c r="F4" s="278"/>
      <c r="G4" s="278"/>
      <c r="H4" s="278"/>
      <c r="I4" s="278"/>
      <c r="J4" s="278"/>
      <c r="K4" s="278"/>
    </row>
    <row r="5" spans="1:11" x14ac:dyDescent="0.2">
      <c r="B5" s="46"/>
      <c r="C5" s="164" t="str">
        <f>'Historical Financials'!E5</f>
        <v>FY'22</v>
      </c>
      <c r="D5" s="164" t="str">
        <f>'Historical Financials'!F5</f>
        <v>FY'23</v>
      </c>
      <c r="E5" s="164" t="str">
        <f>'Historical Financials'!G5</f>
        <v>FY'24</v>
      </c>
      <c r="F5" s="566" t="str">
        <f>'Historical Financials'!H5</f>
        <v>FY'25</v>
      </c>
      <c r="G5" s="164" t="str">
        <f>'Cash Flow Assumptions'!O10</f>
        <v>FY'26</v>
      </c>
      <c r="H5" s="164" t="str">
        <f>'Cash Flow Assumptions'!P10</f>
        <v>FY'27</v>
      </c>
      <c r="I5" s="164" t="str">
        <f>'Cash Flow Assumptions'!Q10</f>
        <v>FY'28</v>
      </c>
      <c r="J5" s="164" t="str">
        <f>'Cash Flow Assumptions'!R10</f>
        <v>FY'29</v>
      </c>
      <c r="K5" s="581" t="str">
        <f>'Cash Flow Assumptions'!S10</f>
        <v>FY'30</v>
      </c>
    </row>
    <row r="6" spans="1:11" x14ac:dyDescent="0.2">
      <c r="B6" s="45" t="s">
        <v>161</v>
      </c>
      <c r="C6" s="561">
        <f>'Historical Financials'!E54</f>
        <v>72.927999999999997</v>
      </c>
      <c r="D6" s="561">
        <f>'Historical Financials'!F54</f>
        <v>74.307000000000002</v>
      </c>
      <c r="E6" s="561">
        <f>'Historical Financials'!G54</f>
        <v>76.686999999999998</v>
      </c>
      <c r="F6" s="561">
        <f>'Historical Financials'!H54</f>
        <v>62.069000000000003</v>
      </c>
      <c r="G6" s="561">
        <f ca="1">(G25/365)*G24</f>
        <v>68.45714726386359</v>
      </c>
      <c r="H6" s="561">
        <f ca="1">(H25/365)*H24</f>
        <v>77.727982444707393</v>
      </c>
      <c r="I6" s="561">
        <f ca="1">(I25/365)*I24</f>
        <v>92.286739618083473</v>
      </c>
      <c r="J6" s="561">
        <f ca="1">(J25/365)*J24</f>
        <v>97.487776531930947</v>
      </c>
      <c r="K6" s="561">
        <f ca="1">(K25/365)*K24</f>
        <v>103.29957248806333</v>
      </c>
    </row>
    <row r="7" spans="1:11" x14ac:dyDescent="0.2">
      <c r="B7" s="45" t="s">
        <v>162</v>
      </c>
      <c r="C7" s="561">
        <f>'Historical Financials'!E55</f>
        <v>19.693000000000001</v>
      </c>
      <c r="D7" s="561">
        <f>'Historical Financials'!F55</f>
        <v>23.521999999999998</v>
      </c>
      <c r="E7" s="561">
        <f>'Historical Financials'!G55</f>
        <v>22.004999999999999</v>
      </c>
      <c r="F7" s="561">
        <f>'Historical Financials'!H55</f>
        <v>18.032</v>
      </c>
      <c r="G7" s="561">
        <f ca="1">(G31/365)*G29</f>
        <v>29.49914192294078</v>
      </c>
      <c r="H7" s="561">
        <f ca="1">(H31/365)*H29</f>
        <v>31.726689651238846</v>
      </c>
      <c r="I7" s="561">
        <f ca="1">(I31/365)*I29</f>
        <v>35.652303301400799</v>
      </c>
      <c r="J7" s="561">
        <f ca="1">(J31/365)*J29</f>
        <v>35.75436916570284</v>
      </c>
      <c r="K7" s="561">
        <f ca="1">(K31/365)*K29</f>
        <v>35.965493653511999</v>
      </c>
    </row>
    <row r="8" spans="1:11" x14ac:dyDescent="0.2">
      <c r="B8" s="45" t="s">
        <v>163</v>
      </c>
      <c r="C8" s="561">
        <f>'Historical Financials'!E56</f>
        <v>13.381</v>
      </c>
      <c r="D8" s="561">
        <f>'Historical Financials'!F56</f>
        <v>14.695</v>
      </c>
      <c r="E8" s="561">
        <f>'Historical Financials'!G56</f>
        <v>13.038</v>
      </c>
      <c r="F8" s="561">
        <f>'Historical Financials'!H56</f>
        <v>18</v>
      </c>
      <c r="G8" s="561">
        <f ca="1">G24*G39</f>
        <v>19.852561677319507</v>
      </c>
      <c r="H8" s="561">
        <f ca="1">H24*H39</f>
        <v>22.541102386130483</v>
      </c>
      <c r="I8" s="561">
        <f ca="1">I24*I39</f>
        <v>26.763139620833304</v>
      </c>
      <c r="J8" s="561">
        <f ca="1">J24*J39</f>
        <v>28.271439487904701</v>
      </c>
      <c r="K8" s="561">
        <f ca="1">K24*K39</f>
        <v>29.956859378838708</v>
      </c>
    </row>
    <row r="9" spans="1:11" x14ac:dyDescent="0.2">
      <c r="B9" s="132" t="s">
        <v>164</v>
      </c>
      <c r="C9" s="559">
        <f>SUM(C6:C8)</f>
        <v>106.002</v>
      </c>
      <c r="D9" s="559">
        <f t="shared" ref="D9:K9" si="0">SUM(D6:D8)</f>
        <v>112.524</v>
      </c>
      <c r="E9" s="559">
        <f t="shared" si="0"/>
        <v>111.72999999999999</v>
      </c>
      <c r="F9" s="559">
        <f t="shared" si="0"/>
        <v>98.100999999999999</v>
      </c>
      <c r="G9" s="559">
        <f t="shared" ca="1" si="0"/>
        <v>117.80885086412388</v>
      </c>
      <c r="H9" s="559">
        <f t="shared" ca="1" si="0"/>
        <v>131.99577448207671</v>
      </c>
      <c r="I9" s="559">
        <f t="shared" ca="1" si="0"/>
        <v>154.70218254031758</v>
      </c>
      <c r="J9" s="559">
        <f t="shared" ca="1" si="0"/>
        <v>161.51358518553849</v>
      </c>
      <c r="K9" s="559">
        <f t="shared" ca="1" si="0"/>
        <v>169.22192552041406</v>
      </c>
    </row>
    <row r="10" spans="1:11" ht="4.3499999999999996" customHeight="1" x14ac:dyDescent="0.2">
      <c r="B10" s="350"/>
      <c r="C10" s="350"/>
      <c r="D10" s="350"/>
      <c r="E10" s="350"/>
      <c r="F10" s="350"/>
      <c r="G10" s="350"/>
      <c r="H10" s="350"/>
      <c r="I10" s="350"/>
      <c r="J10" s="350"/>
      <c r="K10" s="350"/>
    </row>
    <row r="11" spans="1:11" x14ac:dyDescent="0.2">
      <c r="B11" s="45" t="s">
        <v>165</v>
      </c>
      <c r="C11" s="561">
        <f>'Historical Financials'!E65</f>
        <v>6.7249999999999996</v>
      </c>
      <c r="D11" s="561">
        <f>'Historical Financials'!F65</f>
        <v>7.024</v>
      </c>
      <c r="E11" s="561">
        <f>'Historical Financials'!G65</f>
        <v>12.542</v>
      </c>
      <c r="F11" s="561">
        <f>'Historical Financials'!H65</f>
        <v>11.694000000000001</v>
      </c>
      <c r="G11" s="561">
        <f ca="1">(G37/365)*G29</f>
        <v>20.843122371429981</v>
      </c>
      <c r="H11" s="561">
        <f ca="1">(H37/365)*H29</f>
        <v>21.2371903423936</v>
      </c>
      <c r="I11" s="561">
        <f ca="1">(I37/365)*I29</f>
        <v>23.86491498734194</v>
      </c>
      <c r="J11" s="561">
        <f ca="1">(J37/365)*J29</f>
        <v>24.437093362567872</v>
      </c>
      <c r="K11" s="561">
        <f ca="1">(K37/365)*K29</f>
        <v>25.616396873339148</v>
      </c>
    </row>
    <row r="12" spans="1:11" x14ac:dyDescent="0.2">
      <c r="B12" s="45" t="s">
        <v>166</v>
      </c>
      <c r="C12" s="561">
        <f>'Historical Financials'!E66</f>
        <v>37.183</v>
      </c>
      <c r="D12" s="561">
        <f>'Historical Financials'!F66</f>
        <v>21.388000000000002</v>
      </c>
      <c r="E12" s="561">
        <f>'Historical Financials'!G66</f>
        <v>32.695999999999998</v>
      </c>
      <c r="F12" s="561">
        <f>'Historical Financials'!H66</f>
        <v>41.131999999999998</v>
      </c>
      <c r="G12" s="561">
        <f ca="1">G24*G40</f>
        <v>45.365309272861438</v>
      </c>
      <c r="H12" s="561">
        <f ca="1">H24*H40</f>
        <v>51.508923519239943</v>
      </c>
      <c r="I12" s="561">
        <f ca="1">I24*I40</f>
        <v>61.156747715784185</v>
      </c>
      <c r="J12" s="561">
        <f ca="1">J24*J40</f>
        <v>64.603380500916458</v>
      </c>
      <c r="K12" s="561">
        <f ca="1">K24*K40</f>
        <v>68.454752220577433</v>
      </c>
    </row>
    <row r="13" spans="1:11" x14ac:dyDescent="0.2">
      <c r="B13" s="45" t="s">
        <v>167</v>
      </c>
      <c r="C13" s="561">
        <f>'Historical Financials'!E67</f>
        <v>74.34</v>
      </c>
      <c r="D13" s="561">
        <f>'Historical Financials'!F67</f>
        <v>82.656999999999996</v>
      </c>
      <c r="E13" s="561">
        <f>'Historical Financials'!G67</f>
        <v>78.334999999999994</v>
      </c>
      <c r="F13" s="561">
        <f>'Historical Financials'!H67</f>
        <v>80.823999999999998</v>
      </c>
      <c r="G13" s="561">
        <f ca="1">G24*G41</f>
        <v>89.142413611537322</v>
      </c>
      <c r="H13" s="561">
        <f ca="1">H24*H41</f>
        <v>101.21455884758944</v>
      </c>
      <c r="I13" s="561">
        <f ca="1">I24*I41</f>
        <v>120.17244426190172</v>
      </c>
      <c r="J13" s="561">
        <f ca="1">J24*J41</f>
        <v>126.94504584280054</v>
      </c>
      <c r="K13" s="561">
        <f ca="1">K24*K41</f>
        <v>134.51295569084778</v>
      </c>
    </row>
    <row r="14" spans="1:11" x14ac:dyDescent="0.2">
      <c r="B14" s="132" t="s">
        <v>168</v>
      </c>
      <c r="C14" s="559">
        <f>SUM(C11:C13)</f>
        <v>118.248</v>
      </c>
      <c r="D14" s="559">
        <f t="shared" ref="D14" si="1">SUM(D11:D13)</f>
        <v>111.069</v>
      </c>
      <c r="E14" s="559">
        <f t="shared" ref="E14" si="2">SUM(E11:E13)</f>
        <v>123.57299999999999</v>
      </c>
      <c r="F14" s="559">
        <f t="shared" ref="F14" si="3">SUM(F11:F13)</f>
        <v>133.65</v>
      </c>
      <c r="G14" s="559">
        <f t="shared" ref="G14" ca="1" si="4">SUM(G11:G13)</f>
        <v>155.35084525582874</v>
      </c>
      <c r="H14" s="559">
        <f t="shared" ref="H14" ca="1" si="5">SUM(H11:H13)</f>
        <v>173.96067270922299</v>
      </c>
      <c r="I14" s="559">
        <f t="shared" ref="I14" ca="1" si="6">SUM(I11:I13)</f>
        <v>205.19410696502786</v>
      </c>
      <c r="J14" s="559">
        <f t="shared" ref="J14" ca="1" si="7">SUM(J11:J13)</f>
        <v>215.98551970628486</v>
      </c>
      <c r="K14" s="559">
        <f t="shared" ref="K14" ca="1" si="8">SUM(K11:K13)</f>
        <v>228.58410478476435</v>
      </c>
    </row>
    <row r="15" spans="1:11" ht="4.3499999999999996" customHeight="1" x14ac:dyDescent="0.2">
      <c r="B15" s="152"/>
      <c r="C15" s="560"/>
      <c r="D15" s="560"/>
      <c r="E15" s="560"/>
      <c r="F15" s="560"/>
      <c r="G15" s="560"/>
      <c r="H15" s="560"/>
      <c r="I15" s="560"/>
      <c r="J15" s="560"/>
      <c r="K15" s="560"/>
    </row>
    <row r="16" spans="1:11" x14ac:dyDescent="0.2">
      <c r="B16" s="130" t="s">
        <v>169</v>
      </c>
      <c r="C16" s="562">
        <f t="shared" ref="C16:K16" si="9">SUM(C6:C8)-SUM(C11:C13)</f>
        <v>-12.246000000000009</v>
      </c>
      <c r="D16" s="562">
        <f>SUM(D6:D8)-SUM(D11:D13)</f>
        <v>1.4549999999999983</v>
      </c>
      <c r="E16" s="562">
        <f t="shared" si="9"/>
        <v>-11.843000000000004</v>
      </c>
      <c r="F16" s="562">
        <f t="shared" si="9"/>
        <v>-35.549000000000007</v>
      </c>
      <c r="G16" s="562">
        <f t="shared" ca="1" si="9"/>
        <v>-37.541994391704861</v>
      </c>
      <c r="H16" s="562">
        <f t="shared" ca="1" si="9"/>
        <v>-41.964898227146278</v>
      </c>
      <c r="I16" s="562">
        <f t="shared" ca="1" si="9"/>
        <v>-50.491924424710277</v>
      </c>
      <c r="J16" s="562">
        <f t="shared" ca="1" si="9"/>
        <v>-54.471934520746373</v>
      </c>
      <c r="K16" s="562">
        <f t="shared" ca="1" si="9"/>
        <v>-59.362179264350289</v>
      </c>
    </row>
    <row r="17" spans="1:11" ht="4.3499999999999996" customHeight="1" x14ac:dyDescent="0.2">
      <c r="B17" s="152"/>
      <c r="C17" s="560"/>
      <c r="D17" s="560"/>
      <c r="E17" s="560"/>
      <c r="F17" s="560"/>
      <c r="G17" s="560"/>
      <c r="H17" s="560"/>
      <c r="I17" s="560"/>
      <c r="J17" s="560"/>
      <c r="K17" s="560"/>
    </row>
    <row r="18" spans="1:11" x14ac:dyDescent="0.2">
      <c r="A18" s="97" t="s">
        <v>160</v>
      </c>
      <c r="B18" s="563" t="s">
        <v>170</v>
      </c>
      <c r="C18" s="564" t="s">
        <v>171</v>
      </c>
      <c r="D18" s="565">
        <f t="shared" ref="D18:K18" si="10">D16-C16</f>
        <v>13.701000000000008</v>
      </c>
      <c r="E18" s="565">
        <f t="shared" si="10"/>
        <v>-13.298000000000002</v>
      </c>
      <c r="F18" s="565">
        <f t="shared" si="10"/>
        <v>-23.706000000000003</v>
      </c>
      <c r="G18" s="565">
        <f t="shared" ca="1" si="10"/>
        <v>-1.9929943917048547</v>
      </c>
      <c r="H18" s="565">
        <f t="shared" ca="1" si="10"/>
        <v>-4.4229038354414172</v>
      </c>
      <c r="I18" s="565">
        <f t="shared" ca="1" si="10"/>
        <v>-8.5270261975639983</v>
      </c>
      <c r="J18" s="565">
        <f t="shared" ca="1" si="10"/>
        <v>-3.9800100960360965</v>
      </c>
      <c r="K18" s="565">
        <f t="shared" ca="1" si="10"/>
        <v>-4.8902447436039154</v>
      </c>
    </row>
    <row r="20" spans="1:11" x14ac:dyDescent="0.2">
      <c r="C20" s="158" t="s">
        <v>172</v>
      </c>
      <c r="D20" s="278"/>
      <c r="E20" s="278"/>
      <c r="F20" s="278"/>
      <c r="G20" s="278"/>
      <c r="H20" s="278"/>
      <c r="I20" s="278"/>
      <c r="J20" s="278"/>
      <c r="K20" s="278"/>
    </row>
    <row r="21" spans="1:11" x14ac:dyDescent="0.2">
      <c r="B21" s="152"/>
      <c r="C21" s="164" t="str">
        <f>C5</f>
        <v>FY'22</v>
      </c>
      <c r="D21" s="164" t="str">
        <f t="shared" ref="D21:K21" si="11">D5</f>
        <v>FY'23</v>
      </c>
      <c r="E21" s="164" t="str">
        <f t="shared" si="11"/>
        <v>FY'24</v>
      </c>
      <c r="F21" s="164" t="str">
        <f t="shared" si="11"/>
        <v>FY'25</v>
      </c>
      <c r="G21" s="164" t="str">
        <f t="shared" si="11"/>
        <v>FY'26</v>
      </c>
      <c r="H21" s="164" t="str">
        <f t="shared" si="11"/>
        <v>FY'27</v>
      </c>
      <c r="I21" s="164" t="str">
        <f t="shared" si="11"/>
        <v>FY'28</v>
      </c>
      <c r="J21" s="164" t="str">
        <f t="shared" si="11"/>
        <v>FY'29</v>
      </c>
      <c r="K21" s="581" t="str">
        <f t="shared" si="11"/>
        <v>FY'30</v>
      </c>
    </row>
    <row r="22" spans="1:11" x14ac:dyDescent="0.2">
      <c r="B22" s="571" t="s">
        <v>173</v>
      </c>
      <c r="C22" s="567"/>
      <c r="D22" s="567"/>
      <c r="E22" s="567"/>
      <c r="F22" s="567"/>
      <c r="G22" s="567"/>
      <c r="H22" s="567"/>
      <c r="I22" s="567"/>
      <c r="J22" s="567"/>
      <c r="K22" s="567"/>
    </row>
    <row r="23" spans="1:11" x14ac:dyDescent="0.2">
      <c r="B23" s="45" t="s">
        <v>161</v>
      </c>
      <c r="C23" s="556">
        <f>AVERAGE(B6:C6)</f>
        <v>72.927999999999997</v>
      </c>
      <c r="D23" s="556">
        <f t="shared" ref="D23:K23" si="12">AVERAGE(C6:D6)</f>
        <v>73.617500000000007</v>
      </c>
      <c r="E23" s="556">
        <f t="shared" si="12"/>
        <v>75.497</v>
      </c>
      <c r="F23" s="556">
        <f t="shared" si="12"/>
        <v>69.378</v>
      </c>
      <c r="G23" s="556">
        <f t="shared" ca="1" si="12"/>
        <v>65.263073631931803</v>
      </c>
      <c r="H23" s="556">
        <f t="shared" ca="1" si="12"/>
        <v>73.092564854285484</v>
      </c>
      <c r="I23" s="556">
        <f t="shared" ca="1" si="12"/>
        <v>85.007361031395433</v>
      </c>
      <c r="J23" s="556">
        <f t="shared" ca="1" si="12"/>
        <v>94.88725807500721</v>
      </c>
      <c r="K23" s="556">
        <f t="shared" ca="1" si="12"/>
        <v>100.39367450999714</v>
      </c>
    </row>
    <row r="24" spans="1:11" x14ac:dyDescent="0.2">
      <c r="B24" s="45" t="s">
        <v>174</v>
      </c>
      <c r="C24" s="568">
        <f>'Historical Financials'!E13</f>
        <v>280.33800000000002</v>
      </c>
      <c r="D24" s="568">
        <f>'Historical Financials'!F13</f>
        <v>251.7</v>
      </c>
      <c r="E24" s="568">
        <f>'Historical Financials'!G13</f>
        <v>261.69600000000003</v>
      </c>
      <c r="F24" s="568">
        <f>'Historical Financials'!H13</f>
        <v>290.55700000000002</v>
      </c>
      <c r="G24" s="568">
        <f ca="1">'Cash Flow Assumptions'!O14</f>
        <v>320.46115351538469</v>
      </c>
      <c r="H24" s="568">
        <f ca="1">'Cash Flow Assumptions'!P14</f>
        <v>363.85972700038417</v>
      </c>
      <c r="I24" s="568">
        <f ca="1">'Cash Flow Assumptions'!Q14</f>
        <v>432.01208660058126</v>
      </c>
      <c r="J24" s="568">
        <f ca="1">'Cash Flow Assumptions'!R14</f>
        <v>456.35914684928485</v>
      </c>
      <c r="K24" s="568">
        <f ca="1">'Cash Flow Assumptions'!S14</f>
        <v>483.56528836317995</v>
      </c>
    </row>
    <row r="25" spans="1:11" x14ac:dyDescent="0.2">
      <c r="B25" s="130" t="s">
        <v>175</v>
      </c>
      <c r="C25" s="569">
        <f ca="1">(C6/C24)*Assumptions!$D$25</f>
        <v>94.952236229123415</v>
      </c>
      <c r="D25" s="569">
        <f ca="1">(D6/D24)*Assumptions!$D$25</f>
        <v>107.75548271752086</v>
      </c>
      <c r="E25" s="569">
        <f ca="1">(E6/E24)*Assumptions!$D$25</f>
        <v>106.95904790291024</v>
      </c>
      <c r="F25" s="569">
        <f ca="1">(F6/F24)*Assumptions!$D$25</f>
        <v>77.971568401380793</v>
      </c>
      <c r="G25" s="570">
        <f ca="1">F25</f>
        <v>77.971568401380793</v>
      </c>
      <c r="H25" s="570">
        <f t="shared" ref="H25:K25" ca="1" si="13">G25</f>
        <v>77.971568401380793</v>
      </c>
      <c r="I25" s="570">
        <f t="shared" ca="1" si="13"/>
        <v>77.971568401380793</v>
      </c>
      <c r="J25" s="570">
        <f t="shared" ca="1" si="13"/>
        <v>77.971568401380793</v>
      </c>
      <c r="K25" s="570">
        <f t="shared" ca="1" si="13"/>
        <v>77.971568401380793</v>
      </c>
    </row>
    <row r="26" spans="1:11" ht="4.3499999999999996" customHeight="1" x14ac:dyDescent="0.2">
      <c r="B26" s="152"/>
    </row>
    <row r="27" spans="1:11" x14ac:dyDescent="0.2">
      <c r="B27" s="571" t="s">
        <v>176</v>
      </c>
    </row>
    <row r="28" spans="1:11" x14ac:dyDescent="0.2">
      <c r="B28" s="45" t="s">
        <v>177</v>
      </c>
      <c r="C28" s="556">
        <f>AVERAGE(B7:C7)</f>
        <v>19.693000000000001</v>
      </c>
      <c r="D28" s="556">
        <f t="shared" ref="D28:K28" si="14">AVERAGE(C7:D7)</f>
        <v>21.607500000000002</v>
      </c>
      <c r="E28" s="556">
        <f t="shared" si="14"/>
        <v>22.763500000000001</v>
      </c>
      <c r="F28" s="556">
        <f t="shared" si="14"/>
        <v>20.0185</v>
      </c>
      <c r="G28" s="556">
        <f t="shared" ca="1" si="14"/>
        <v>23.765570961470388</v>
      </c>
      <c r="H28" s="556">
        <f t="shared" ca="1" si="14"/>
        <v>30.612915787089811</v>
      </c>
      <c r="I28" s="556">
        <f t="shared" ca="1" si="14"/>
        <v>33.689496476319825</v>
      </c>
      <c r="J28" s="556">
        <f t="shared" ca="1" si="14"/>
        <v>35.703336233551823</v>
      </c>
      <c r="K28" s="556">
        <f t="shared" ca="1" si="14"/>
        <v>35.85993140960742</v>
      </c>
    </row>
    <row r="29" spans="1:11" x14ac:dyDescent="0.2">
      <c r="B29" s="45" t="s">
        <v>178</v>
      </c>
      <c r="C29" s="568">
        <f>'Historical Financials'!E13-'Historical Financials'!E16</f>
        <v>56.832000000000022</v>
      </c>
      <c r="D29" s="568">
        <f>'Historical Financials'!F13-'Historical Financials'!F16</f>
        <v>47.961999999999989</v>
      </c>
      <c r="E29" s="568">
        <f>'Historical Financials'!G13-'Historical Financials'!G16</f>
        <v>51.41900000000004</v>
      </c>
      <c r="F29" s="568">
        <f>'Historical Financials'!H13-'Historical Financials'!H16</f>
        <v>60.04200000000003</v>
      </c>
      <c r="G29" s="568">
        <f ca="1">('Cash Flow Assumptions'!O45+'Cash Flow Assumptions'!O51)</f>
        <v>66.072226858404775</v>
      </c>
      <c r="H29" s="568">
        <f ca="1">('Cash Flow Assumptions'!P45+'Cash Flow Assumptions'!P51)</f>
        <v>74.801570467043248</v>
      </c>
      <c r="I29" s="568">
        <f ca="1">('Cash Flow Assumptions'!Q45+'Cash Flow Assumptions'!Q51)</f>
        <v>88.480983810158563</v>
      </c>
      <c r="J29" s="568">
        <f ca="1">('Cash Flow Assumptions'!R45+'Cash Flow Assumptions'!R51)</f>
        <v>93.404513987819357</v>
      </c>
      <c r="K29" s="568">
        <f ca="1">('Cash Flow Assumptions'!S45+'Cash Flow Assumptions'!S51)</f>
        <v>98.901109914398234</v>
      </c>
    </row>
    <row r="30" spans="1:11" x14ac:dyDescent="0.2">
      <c r="B30" s="151" t="s">
        <v>179</v>
      </c>
      <c r="C30" s="580">
        <v>1</v>
      </c>
      <c r="D30" s="580">
        <v>1</v>
      </c>
      <c r="E30" s="580">
        <v>1</v>
      </c>
      <c r="F30" s="580">
        <v>1</v>
      </c>
      <c r="G30" s="580">
        <v>0.9</v>
      </c>
      <c r="H30" s="580">
        <v>0.95</v>
      </c>
      <c r="I30" s="580">
        <v>0.95</v>
      </c>
      <c r="J30" s="580">
        <v>0.95</v>
      </c>
      <c r="K30" s="580">
        <v>0.95</v>
      </c>
    </row>
    <row r="31" spans="1:11" x14ac:dyDescent="0.2">
      <c r="B31" s="130" t="s">
        <v>180</v>
      </c>
      <c r="C31" s="572">
        <f ca="1">(C7/C29)*Assumptions!$D$25*C30</f>
        <v>126.47707277590085</v>
      </c>
      <c r="D31" s="572">
        <f ca="1">(D7/D29)*Assumptions!$D$25*D30</f>
        <v>179.00692214669948</v>
      </c>
      <c r="E31" s="572">
        <f ca="1">(E7/E29)*Assumptions!$D$25*E30</f>
        <v>156.20344619693097</v>
      </c>
      <c r="F31" s="572">
        <f ca="1">(F7/F29)*Assumptions!$D$25*F30</f>
        <v>109.61793411278765</v>
      </c>
      <c r="G31" s="573">
        <f>'Historical Financials'!AA90*G30</f>
        <v>162.96085834896809</v>
      </c>
      <c r="H31" s="573">
        <f>G31*H30</f>
        <v>154.81281543151968</v>
      </c>
      <c r="I31" s="573">
        <f t="shared" ref="I31:K31" si="15">H31*I30</f>
        <v>147.0721746599437</v>
      </c>
      <c r="J31" s="573">
        <f t="shared" si="15"/>
        <v>139.7185659269465</v>
      </c>
      <c r="K31" s="573">
        <f t="shared" si="15"/>
        <v>132.73263763059916</v>
      </c>
    </row>
    <row r="32" spans="1:11" ht="4.3499999999999996" customHeight="1" x14ac:dyDescent="0.2"/>
    <row r="33" spans="1:11" x14ac:dyDescent="0.2">
      <c r="B33" s="571" t="s">
        <v>181</v>
      </c>
    </row>
    <row r="34" spans="1:11" x14ac:dyDescent="0.2">
      <c r="B34" s="45" t="s">
        <v>165</v>
      </c>
      <c r="C34" s="556">
        <f t="shared" ref="C34:K34" si="16">AVERAGE(B11:C11)</f>
        <v>6.7249999999999996</v>
      </c>
      <c r="D34" s="556">
        <f t="shared" si="16"/>
        <v>6.8744999999999994</v>
      </c>
      <c r="E34" s="556">
        <f t="shared" si="16"/>
        <v>9.7829999999999995</v>
      </c>
      <c r="F34" s="556">
        <f t="shared" si="16"/>
        <v>12.118</v>
      </c>
      <c r="G34" s="556">
        <f t="shared" ca="1" si="16"/>
        <v>16.26856118571499</v>
      </c>
      <c r="H34" s="556">
        <f t="shared" ca="1" si="16"/>
        <v>21.04015635691179</v>
      </c>
      <c r="I34" s="556">
        <f t="shared" ca="1" si="16"/>
        <v>22.551052664867768</v>
      </c>
      <c r="J34" s="556">
        <f t="shared" ca="1" si="16"/>
        <v>24.151004174954906</v>
      </c>
      <c r="K34" s="556">
        <f t="shared" ca="1" si="16"/>
        <v>25.02674511795351</v>
      </c>
    </row>
    <row r="35" spans="1:11" x14ac:dyDescent="0.2">
      <c r="B35" s="45" t="s">
        <v>178</v>
      </c>
      <c r="C35" s="568">
        <f>C29</f>
        <v>56.832000000000022</v>
      </c>
      <c r="D35" s="568">
        <f t="shared" ref="D35:K35" si="17">D29</f>
        <v>47.961999999999989</v>
      </c>
      <c r="E35" s="568">
        <f t="shared" si="17"/>
        <v>51.41900000000004</v>
      </c>
      <c r="F35" s="568">
        <f t="shared" si="17"/>
        <v>60.04200000000003</v>
      </c>
      <c r="G35" s="568">
        <f t="shared" ca="1" si="17"/>
        <v>66.072226858404775</v>
      </c>
      <c r="H35" s="568">
        <f t="shared" ca="1" si="17"/>
        <v>74.801570467043248</v>
      </c>
      <c r="I35" s="568">
        <f t="shared" ca="1" si="17"/>
        <v>88.480983810158563</v>
      </c>
      <c r="J35" s="568">
        <f t="shared" ca="1" si="17"/>
        <v>93.404513987819357</v>
      </c>
      <c r="K35" s="568">
        <f t="shared" ca="1" si="17"/>
        <v>98.901109914398234</v>
      </c>
    </row>
    <row r="36" spans="1:11" x14ac:dyDescent="0.2">
      <c r="B36" s="151" t="s">
        <v>179</v>
      </c>
      <c r="C36" s="580">
        <v>1</v>
      </c>
      <c r="D36" s="580">
        <v>1</v>
      </c>
      <c r="E36" s="580">
        <v>1</v>
      </c>
      <c r="F36" s="580">
        <v>1</v>
      </c>
      <c r="G36" s="580">
        <v>0.8</v>
      </c>
      <c r="H36" s="580">
        <v>0.9</v>
      </c>
      <c r="I36" s="580">
        <v>0.95</v>
      </c>
      <c r="J36" s="580">
        <v>0.97</v>
      </c>
      <c r="K36" s="580">
        <v>0.99</v>
      </c>
    </row>
    <row r="37" spans="1:11" x14ac:dyDescent="0.2">
      <c r="B37" s="130" t="s">
        <v>182</v>
      </c>
      <c r="C37" s="572">
        <f ca="1">(C11/C29)*Assumptions!$D$25*C36</f>
        <v>43.190895974099085</v>
      </c>
      <c r="D37" s="572">
        <f ca="1">(D11/D29)*Assumptions!$D$25*D36</f>
        <v>53.453984404320096</v>
      </c>
      <c r="E37" s="572">
        <f ca="1">(E11/E29)*Assumptions!$D$25*E36</f>
        <v>89.029930570411651</v>
      </c>
      <c r="F37" s="572">
        <f ca="1">(F11/F29)*Assumptions!$D$25*F36</f>
        <v>71.088737883481542</v>
      </c>
      <c r="G37" s="573">
        <f>'Historical Financials'!AA91*G36</f>
        <v>115.14277673545968</v>
      </c>
      <c r="H37" s="573">
        <f>G37*H36</f>
        <v>103.62849906191371</v>
      </c>
      <c r="I37" s="573">
        <f t="shared" ref="I37:K37" si="18">H37*I36</f>
        <v>98.447074108818029</v>
      </c>
      <c r="J37" s="573">
        <f t="shared" si="18"/>
        <v>95.493661885553479</v>
      </c>
      <c r="K37" s="573">
        <f t="shared" si="18"/>
        <v>94.538725266697938</v>
      </c>
    </row>
    <row r="38" spans="1:11" ht="4.3499999999999996" customHeight="1" x14ac:dyDescent="0.2"/>
    <row r="39" spans="1:11" x14ac:dyDescent="0.2">
      <c r="B39" s="575" t="s">
        <v>183</v>
      </c>
      <c r="C39" s="576">
        <f>C8/C24</f>
        <v>4.7731666773680341E-2</v>
      </c>
      <c r="D39" s="576">
        <f>D8/D24</f>
        <v>5.8382995629717924E-2</v>
      </c>
      <c r="E39" s="576">
        <f>E8/E24</f>
        <v>4.9821166544387376E-2</v>
      </c>
      <c r="F39" s="576">
        <f>F8/F24</f>
        <v>6.1949978833757226E-2</v>
      </c>
      <c r="G39" s="576">
        <f>F39</f>
        <v>6.1949978833757226E-2</v>
      </c>
      <c r="H39" s="576">
        <f t="shared" ref="H39:K39" si="19">G39</f>
        <v>6.1949978833757226E-2</v>
      </c>
      <c r="I39" s="576">
        <f t="shared" si="19"/>
        <v>6.1949978833757226E-2</v>
      </c>
      <c r="J39" s="576">
        <f t="shared" si="19"/>
        <v>6.1949978833757226E-2</v>
      </c>
      <c r="K39" s="576">
        <f t="shared" si="19"/>
        <v>6.1949978833757226E-2</v>
      </c>
    </row>
    <row r="40" spans="1:11" x14ac:dyDescent="0.2">
      <c r="B40" s="577" t="s">
        <v>184</v>
      </c>
      <c r="C40" s="574">
        <f>C12/C24</f>
        <v>0.13263631758805441</v>
      </c>
      <c r="D40" s="574">
        <f>D12/D24</f>
        <v>8.4974175605880026E-2</v>
      </c>
      <c r="E40" s="574">
        <f>E12/E24</f>
        <v>0.1249388603570555</v>
      </c>
      <c r="F40" s="574">
        <f>F12/F24</f>
        <v>0.14156258496611679</v>
      </c>
      <c r="G40" s="574">
        <f>F40</f>
        <v>0.14156258496611679</v>
      </c>
      <c r="H40" s="574">
        <f t="shared" ref="H40:K40" si="20">G40</f>
        <v>0.14156258496611679</v>
      </c>
      <c r="I40" s="574">
        <f t="shared" si="20"/>
        <v>0.14156258496611679</v>
      </c>
      <c r="J40" s="574">
        <f t="shared" si="20"/>
        <v>0.14156258496611679</v>
      </c>
      <c r="K40" s="574">
        <f t="shared" si="20"/>
        <v>0.14156258496611679</v>
      </c>
    </row>
    <row r="41" spans="1:11" x14ac:dyDescent="0.2">
      <c r="A41" s="97" t="s">
        <v>160</v>
      </c>
      <c r="B41" s="578" t="s">
        <v>185</v>
      </c>
      <c r="C41" s="579">
        <f>C13/C24</f>
        <v>0.26517988998994069</v>
      </c>
      <c r="D41" s="579">
        <f>D13/D24</f>
        <v>0.32839491458085024</v>
      </c>
      <c r="E41" s="579">
        <f>E13/E24</f>
        <v>0.29933587062851547</v>
      </c>
      <c r="F41" s="579">
        <f>F13/F24</f>
        <v>0.27816917162553301</v>
      </c>
      <c r="G41" s="579">
        <f>F41</f>
        <v>0.27816917162553301</v>
      </c>
      <c r="H41" s="579">
        <f t="shared" ref="H41:K41" si="21">G41</f>
        <v>0.27816917162553301</v>
      </c>
      <c r="I41" s="579">
        <f t="shared" si="21"/>
        <v>0.27816917162553301</v>
      </c>
      <c r="J41" s="579">
        <f t="shared" si="21"/>
        <v>0.27816917162553301</v>
      </c>
      <c r="K41" s="579">
        <f t="shared" si="21"/>
        <v>0.27816917162553301</v>
      </c>
    </row>
    <row r="42" spans="1:11" x14ac:dyDescent="0.2">
      <c r="B42" s="46"/>
      <c r="C42" s="46"/>
      <c r="D42" s="46"/>
      <c r="E42" s="46"/>
      <c r="F42" s="46"/>
      <c r="G42" s="46"/>
      <c r="H42" s="46"/>
      <c r="I42" s="46"/>
      <c r="J42" s="46"/>
      <c r="K42" s="46"/>
    </row>
    <row r="52" spans="6:6" x14ac:dyDescent="0.2">
      <c r="F52" s="426"/>
    </row>
    <row r="53" spans="6:6" x14ac:dyDescent="0.2">
      <c r="F53" s="426"/>
    </row>
  </sheetData>
  <pageMargins left="0.7" right="0.7" top="0.75" bottom="0.75" header="0.3" footer="0.3"/>
  <pageSetup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E2505-D889-47BC-9AFF-78DBAAF9BD9A}">
  <sheetPr>
    <tabColor theme="1"/>
  </sheetPr>
  <dimension ref="A1"/>
  <sheetViews>
    <sheetView showGridLines="0" workbookViewId="0"/>
  </sheetViews>
  <sheetFormatPr defaultColWidth="8.875" defaultRowHeight="14.2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A49D0-171D-40F8-BFAC-6DA04B34FD79}">
  <sheetPr>
    <pageSetUpPr fitToPage="1"/>
  </sheetPr>
  <dimension ref="B2:AF155"/>
  <sheetViews>
    <sheetView showGridLines="0" zoomScaleNormal="115" zoomScaleSheetLayoutView="100" workbookViewId="0">
      <pane xSplit="4" ySplit="5" topLeftCell="E6" activePane="bottomRight" state="frozen"/>
      <selection pane="topRight" activeCell="E1" sqref="E1"/>
      <selection pane="bottomLeft" activeCell="A6" sqref="A6"/>
      <selection pane="bottomRight" activeCell="H13" sqref="H13"/>
    </sheetView>
  </sheetViews>
  <sheetFormatPr defaultColWidth="26.875" defaultRowHeight="11.25" outlineLevelRow="1" outlineLevelCol="1" x14ac:dyDescent="0.2"/>
  <cols>
    <col min="1" max="1" width="5.625" style="21" customWidth="1"/>
    <col min="2" max="2" width="2.625" style="21" customWidth="1"/>
    <col min="3" max="3" width="40.625" style="21" customWidth="1"/>
    <col min="4" max="4" width="2.375" style="21" customWidth="1"/>
    <col min="5" max="9" width="8.125" style="21" customWidth="1"/>
    <col min="10" max="23" width="8.125" style="21" hidden="1" customWidth="1" outlineLevel="1"/>
    <col min="24" max="24" width="8.125" style="21" customWidth="1" collapsed="1"/>
    <col min="25" max="27" width="8.125" style="21" customWidth="1"/>
    <col min="28" max="30" width="8.625" style="21" customWidth="1"/>
    <col min="31" max="16384" width="26.875" style="21"/>
  </cols>
  <sheetData>
    <row r="2" spans="2:32" x14ac:dyDescent="0.2">
      <c r="C2" s="41" t="str">
        <f>Assumptions!B2</f>
        <v xml:space="preserve">A10 Networks, Inc. </v>
      </c>
      <c r="D2" s="42"/>
      <c r="E2" s="43"/>
      <c r="F2" s="42"/>
      <c r="G2" s="44"/>
      <c r="H2" s="42"/>
      <c r="I2" s="42"/>
      <c r="J2" s="42"/>
      <c r="K2" s="42"/>
      <c r="L2" s="42"/>
      <c r="M2" s="42"/>
      <c r="N2" s="42"/>
      <c r="O2" s="42"/>
      <c r="P2" s="42"/>
      <c r="Q2" s="42"/>
      <c r="R2" s="42"/>
      <c r="S2" s="42"/>
      <c r="T2" s="42"/>
      <c r="U2" s="42"/>
      <c r="V2" s="42"/>
      <c r="W2" s="42"/>
      <c r="X2" s="42"/>
      <c r="Y2" s="42"/>
      <c r="Z2" s="42"/>
      <c r="AA2" s="42"/>
    </row>
    <row r="4" spans="2:32" ht="13.5" x14ac:dyDescent="0.35">
      <c r="C4" s="38" t="str">
        <f ca="1">Assumptions!$D$31</f>
        <v>($ in Millions)</v>
      </c>
      <c r="D4" s="30"/>
      <c r="E4" s="36" t="s">
        <v>186</v>
      </c>
      <c r="F4" s="36"/>
      <c r="G4" s="36"/>
      <c r="H4" s="36"/>
      <c r="I4" s="30"/>
      <c r="J4" s="36"/>
      <c r="K4" s="28"/>
      <c r="L4" s="28"/>
      <c r="N4" s="34"/>
      <c r="O4" s="34"/>
      <c r="P4" s="34"/>
      <c r="R4" s="34"/>
      <c r="S4" s="34"/>
      <c r="T4" s="34"/>
      <c r="V4" s="34"/>
      <c r="W4" s="34"/>
      <c r="X4" s="36" t="s">
        <v>187</v>
      </c>
      <c r="Y4" s="36"/>
      <c r="Z4" s="36"/>
      <c r="AA4" s="36"/>
    </row>
    <row r="5" spans="2:32" ht="13.5" x14ac:dyDescent="0.35">
      <c r="C5" s="30"/>
      <c r="D5" s="30"/>
      <c r="E5" s="33" t="s">
        <v>188</v>
      </c>
      <c r="F5" s="33" t="s">
        <v>189</v>
      </c>
      <c r="G5" s="33" t="s">
        <v>190</v>
      </c>
      <c r="H5" s="33" t="s">
        <v>191</v>
      </c>
      <c r="I5" s="33" t="s">
        <v>192</v>
      </c>
      <c r="J5" s="33" t="s">
        <v>193</v>
      </c>
      <c r="K5" s="33" t="s">
        <v>194</v>
      </c>
      <c r="L5" s="33" t="s">
        <v>195</v>
      </c>
      <c r="M5" s="33" t="s">
        <v>196</v>
      </c>
      <c r="N5" s="33" t="s">
        <v>197</v>
      </c>
      <c r="O5" s="33" t="s">
        <v>198</v>
      </c>
      <c r="P5" s="33" t="s">
        <v>199</v>
      </c>
      <c r="Q5" s="33" t="s">
        <v>200</v>
      </c>
      <c r="R5" s="33" t="s">
        <v>201</v>
      </c>
      <c r="S5" s="33" t="s">
        <v>202</v>
      </c>
      <c r="T5" s="33" t="s">
        <v>203</v>
      </c>
      <c r="U5" s="33" t="s">
        <v>204</v>
      </c>
      <c r="V5" s="33" t="s">
        <v>205</v>
      </c>
      <c r="W5" s="33" t="s">
        <v>206</v>
      </c>
      <c r="X5" s="33" t="s">
        <v>207</v>
      </c>
      <c r="Y5" s="33" t="s">
        <v>208</v>
      </c>
      <c r="Z5" s="33" t="s">
        <v>209</v>
      </c>
      <c r="AA5" s="33" t="s">
        <v>210</v>
      </c>
    </row>
    <row r="6" spans="2:32" ht="4.3499999999999996" customHeight="1" x14ac:dyDescent="0.2">
      <c r="C6" s="30"/>
      <c r="D6" s="30"/>
      <c r="E6" s="30"/>
      <c r="F6" s="30"/>
      <c r="G6" s="30"/>
      <c r="H6" s="30"/>
      <c r="I6" s="30"/>
      <c r="J6" s="28"/>
      <c r="K6" s="28"/>
      <c r="L6" s="28"/>
      <c r="N6" s="28"/>
      <c r="O6" s="28"/>
      <c r="P6" s="28"/>
      <c r="R6" s="28"/>
      <c r="S6" s="28"/>
      <c r="T6" s="28"/>
      <c r="V6" s="28"/>
      <c r="W6" s="28"/>
      <c r="X6" s="28" t="s">
        <v>211</v>
      </c>
      <c r="Z6" s="28"/>
      <c r="AA6" s="28"/>
      <c r="AB6" s="28"/>
      <c r="AC6" s="28"/>
      <c r="AD6" s="28"/>
      <c r="AE6" s="28"/>
      <c r="AF6" s="28"/>
    </row>
    <row r="7" spans="2:32" ht="11.25" customHeight="1" x14ac:dyDescent="0.2">
      <c r="B7" s="97" t="s">
        <v>7</v>
      </c>
      <c r="C7" s="94" t="s">
        <v>212</v>
      </c>
      <c r="D7" s="278"/>
      <c r="E7" s="278"/>
      <c r="F7" s="278"/>
      <c r="G7" s="278"/>
      <c r="H7" s="278"/>
      <c r="I7" s="278"/>
      <c r="J7" s="278"/>
      <c r="K7" s="278"/>
      <c r="L7" s="278"/>
      <c r="M7" s="278"/>
      <c r="N7" s="278"/>
      <c r="O7" s="278"/>
      <c r="P7" s="278"/>
      <c r="Q7" s="278"/>
      <c r="R7" s="278"/>
      <c r="S7" s="278"/>
      <c r="T7" s="278"/>
      <c r="U7" s="278"/>
      <c r="V7" s="278"/>
      <c r="W7" s="278"/>
      <c r="X7" s="278"/>
      <c r="Y7" s="278"/>
      <c r="Z7" s="278"/>
      <c r="AA7" s="278"/>
      <c r="AB7" s="28"/>
      <c r="AC7" s="28"/>
      <c r="AD7" s="28"/>
      <c r="AE7" s="28"/>
      <c r="AF7" s="28"/>
    </row>
    <row r="8" spans="2:32" ht="4.3499999999999996" customHeight="1" x14ac:dyDescent="0.2">
      <c r="C8" s="39"/>
      <c r="D8" s="40"/>
      <c r="E8" s="40"/>
      <c r="F8" s="40"/>
      <c r="G8" s="40"/>
      <c r="H8" s="40"/>
      <c r="I8" s="40"/>
      <c r="J8" s="40"/>
      <c r="K8" s="40"/>
      <c r="L8" s="40"/>
      <c r="M8" s="40"/>
      <c r="N8" s="40"/>
      <c r="O8" s="40"/>
      <c r="P8" s="40"/>
      <c r="Q8" s="40"/>
      <c r="R8" s="40"/>
      <c r="S8" s="40"/>
      <c r="T8" s="40"/>
      <c r="U8" s="40"/>
      <c r="V8" s="40"/>
      <c r="W8" s="40"/>
      <c r="X8" s="40"/>
      <c r="Y8" s="40"/>
      <c r="Z8" s="40"/>
      <c r="AA8" s="40"/>
      <c r="AB8" s="28"/>
      <c r="AC8" s="28"/>
      <c r="AD8" s="28"/>
      <c r="AE8" s="28"/>
      <c r="AF8" s="28"/>
    </row>
    <row r="9" spans="2:32" ht="12.6" hidden="1" customHeight="1" outlineLevel="1" x14ac:dyDescent="0.35">
      <c r="C9" s="38" t="s">
        <v>37</v>
      </c>
      <c r="D9" s="30"/>
      <c r="E9" s="36" t="s">
        <v>186</v>
      </c>
      <c r="F9" s="36"/>
      <c r="G9" s="36"/>
      <c r="H9" s="36"/>
      <c r="I9" s="30"/>
      <c r="J9" s="36"/>
      <c r="K9" s="28"/>
      <c r="L9" s="28"/>
      <c r="N9" s="34"/>
      <c r="O9" s="34"/>
      <c r="P9" s="34"/>
      <c r="R9" s="34"/>
      <c r="S9" s="34"/>
      <c r="T9" s="34"/>
      <c r="V9" s="34"/>
      <c r="W9" s="34"/>
      <c r="X9" s="36" t="s">
        <v>187</v>
      </c>
      <c r="Y9" s="36"/>
      <c r="Z9" s="36"/>
      <c r="AA9" s="36"/>
      <c r="AB9" s="34"/>
      <c r="AC9" s="28"/>
      <c r="AD9" s="28"/>
      <c r="AE9" s="28"/>
      <c r="AF9" s="28"/>
    </row>
    <row r="10" spans="2:32" ht="12.6" hidden="1" customHeight="1" outlineLevel="1" x14ac:dyDescent="0.35">
      <c r="C10" s="30"/>
      <c r="D10" s="30"/>
      <c r="E10" s="33" t="s">
        <v>188</v>
      </c>
      <c r="F10" s="33" t="s">
        <v>189</v>
      </c>
      <c r="G10" s="33" t="s">
        <v>190</v>
      </c>
      <c r="H10" s="33" t="s">
        <v>191</v>
      </c>
      <c r="I10" s="33" t="s">
        <v>192</v>
      </c>
      <c r="J10" s="33" t="s">
        <v>193</v>
      </c>
      <c r="K10" s="33" t="s">
        <v>194</v>
      </c>
      <c r="L10" s="33" t="s">
        <v>195</v>
      </c>
      <c r="M10" s="33" t="s">
        <v>196</v>
      </c>
      <c r="N10" s="33" t="s">
        <v>197</v>
      </c>
      <c r="O10" s="33" t="s">
        <v>198</v>
      </c>
      <c r="P10" s="33" t="s">
        <v>199</v>
      </c>
      <c r="Q10" s="33" t="s">
        <v>200</v>
      </c>
      <c r="R10" s="33" t="s">
        <v>201</v>
      </c>
      <c r="S10" s="33" t="s">
        <v>202</v>
      </c>
      <c r="T10" s="33" t="s">
        <v>203</v>
      </c>
      <c r="U10" s="33" t="s">
        <v>204</v>
      </c>
      <c r="V10" s="33" t="s">
        <v>205</v>
      </c>
      <c r="W10" s="33" t="s">
        <v>206</v>
      </c>
      <c r="X10" s="33" t="s">
        <v>207</v>
      </c>
      <c r="Y10" s="33" t="s">
        <v>208</v>
      </c>
      <c r="Z10" s="33" t="s">
        <v>209</v>
      </c>
      <c r="AA10" s="33" t="s">
        <v>210</v>
      </c>
      <c r="AB10" s="28"/>
    </row>
    <row r="11" spans="2:32" ht="9.9499999999999993" customHeight="1" collapsed="1" x14ac:dyDescent="0.2">
      <c r="B11" s="97"/>
      <c r="C11" s="55" t="s">
        <v>213</v>
      </c>
      <c r="D11" s="55"/>
      <c r="E11" s="56">
        <v>173.20099999999999</v>
      </c>
      <c r="F11" s="56">
        <v>141.08199999999999</v>
      </c>
      <c r="G11" s="56">
        <v>139.79900000000001</v>
      </c>
      <c r="H11" s="56">
        <v>167.08600000000001</v>
      </c>
      <c r="I11" s="57">
        <f>SUM(X11:AA11)</f>
        <v>184.94400000000002</v>
      </c>
      <c r="J11" s="56">
        <v>37.045000000000002</v>
      </c>
      <c r="K11" s="56">
        <v>41.475000000000001</v>
      </c>
      <c r="L11" s="56">
        <v>45.103999999999999</v>
      </c>
      <c r="M11" s="56">
        <f t="shared" ref="M11:M25" si="0">E11-SUM(J11:L11)</f>
        <v>49.576999999999984</v>
      </c>
      <c r="N11" s="56">
        <v>31.181999999999999</v>
      </c>
      <c r="O11" s="56">
        <v>39.090000000000003</v>
      </c>
      <c r="P11" s="56">
        <v>30.26</v>
      </c>
      <c r="Q11" s="56">
        <f t="shared" ref="Q11:Q25" si="1">F11-SUM(N11:P11)</f>
        <v>40.549999999999983</v>
      </c>
      <c r="R11" s="56">
        <v>30.068999999999999</v>
      </c>
      <c r="S11" s="56">
        <v>29.533000000000001</v>
      </c>
      <c r="T11" s="56">
        <v>36.862000000000002</v>
      </c>
      <c r="U11" s="56">
        <f t="shared" ref="U11:U25" si="2">G11-SUM(R11:T11)</f>
        <v>43.335000000000008</v>
      </c>
      <c r="V11" s="56">
        <v>35.978999999999999</v>
      </c>
      <c r="W11" s="56">
        <v>39.173000000000002</v>
      </c>
      <c r="X11" s="56">
        <v>43.109000000000002</v>
      </c>
      <c r="Y11" s="56">
        <f t="shared" ref="Y11:Y25" si="3">H11-SUM(V11:X11)</f>
        <v>48.825000000000017</v>
      </c>
      <c r="Z11" s="56">
        <v>43.985999999999997</v>
      </c>
      <c r="AA11" s="56">
        <v>49.024000000000001</v>
      </c>
      <c r="AB11" s="32"/>
      <c r="AC11"/>
      <c r="AD11"/>
    </row>
    <row r="12" spans="2:32" ht="9.9499999999999993" customHeight="1" x14ac:dyDescent="0.2">
      <c r="C12" s="55" t="s">
        <v>214</v>
      </c>
      <c r="D12" s="55"/>
      <c r="E12" s="58">
        <v>107.137</v>
      </c>
      <c r="F12" s="58">
        <v>110.61799999999999</v>
      </c>
      <c r="G12" s="58">
        <v>121.89700000000001</v>
      </c>
      <c r="H12" s="58">
        <v>123.471</v>
      </c>
      <c r="I12" s="59">
        <f t="shared" ref="I12:I25" si="4">SUM(X12:AA12)</f>
        <v>125.23</v>
      </c>
      <c r="J12" s="58">
        <v>25.626999999999999</v>
      </c>
      <c r="K12" s="58">
        <v>26.498000000000001</v>
      </c>
      <c r="L12" s="58">
        <v>26.954999999999998</v>
      </c>
      <c r="M12" s="58">
        <f t="shared" si="0"/>
        <v>28.057000000000002</v>
      </c>
      <c r="N12" s="58">
        <v>26.509</v>
      </c>
      <c r="O12" s="58">
        <v>26.727</v>
      </c>
      <c r="P12" s="58">
        <v>27.515000000000001</v>
      </c>
      <c r="Q12" s="58">
        <f t="shared" si="1"/>
        <v>29.86699999999999</v>
      </c>
      <c r="R12" s="58">
        <v>30.606000000000002</v>
      </c>
      <c r="S12" s="58">
        <v>30.562999999999999</v>
      </c>
      <c r="T12" s="58">
        <v>29.859000000000002</v>
      </c>
      <c r="U12" s="58">
        <f t="shared" si="2"/>
        <v>30.869000000000014</v>
      </c>
      <c r="V12" s="58">
        <v>30.158000000000001</v>
      </c>
      <c r="W12" s="58">
        <v>30.21</v>
      </c>
      <c r="X12" s="58">
        <v>31.573</v>
      </c>
      <c r="Y12" s="58">
        <f t="shared" si="3"/>
        <v>31.53</v>
      </c>
      <c r="Z12" s="58">
        <v>31.013999999999999</v>
      </c>
      <c r="AA12" s="58">
        <v>31.113</v>
      </c>
      <c r="AB12" s="23"/>
      <c r="AC12"/>
      <c r="AD12"/>
    </row>
    <row r="13" spans="2:32" ht="9.9499999999999993" customHeight="1" x14ac:dyDescent="0.2">
      <c r="C13" s="279" t="s">
        <v>215</v>
      </c>
      <c r="D13" s="279"/>
      <c r="E13" s="280">
        <v>280.33800000000002</v>
      </c>
      <c r="F13" s="280">
        <v>251.7</v>
      </c>
      <c r="G13" s="280">
        <v>261.69600000000003</v>
      </c>
      <c r="H13" s="280">
        <v>290.55700000000002</v>
      </c>
      <c r="I13" s="60">
        <f t="shared" si="4"/>
        <v>310.17400000000004</v>
      </c>
      <c r="J13" s="280">
        <v>62.671999999999997</v>
      </c>
      <c r="K13" s="280">
        <v>67.972999999999999</v>
      </c>
      <c r="L13" s="280">
        <v>72.058999999999997</v>
      </c>
      <c r="M13" s="280">
        <f t="shared" si="0"/>
        <v>77.634000000000043</v>
      </c>
      <c r="N13" s="280">
        <v>57.691000000000003</v>
      </c>
      <c r="O13" s="280">
        <v>65.816999999999993</v>
      </c>
      <c r="P13" s="280">
        <v>57.774999999999999</v>
      </c>
      <c r="Q13" s="280">
        <f t="shared" si="1"/>
        <v>70.417000000000002</v>
      </c>
      <c r="R13" s="280">
        <v>60.674999999999997</v>
      </c>
      <c r="S13" s="280">
        <v>60.095999999999997</v>
      </c>
      <c r="T13" s="280">
        <v>66.721000000000004</v>
      </c>
      <c r="U13" s="280">
        <f t="shared" si="2"/>
        <v>74.204000000000036</v>
      </c>
      <c r="V13" s="280">
        <v>66.137</v>
      </c>
      <c r="W13" s="280">
        <v>69.382999999999996</v>
      </c>
      <c r="X13" s="280">
        <v>74.682000000000002</v>
      </c>
      <c r="Y13" s="280">
        <f t="shared" si="3"/>
        <v>80.355000000000018</v>
      </c>
      <c r="Z13" s="280">
        <v>75</v>
      </c>
      <c r="AA13" s="280">
        <v>80.137</v>
      </c>
      <c r="AB13" s="23"/>
      <c r="AC13"/>
      <c r="AD13"/>
    </row>
    <row r="14" spans="2:32" ht="9.9499999999999993" customHeight="1" x14ac:dyDescent="0.2">
      <c r="C14" s="55" t="s">
        <v>216</v>
      </c>
      <c r="D14" s="55"/>
      <c r="E14" s="58">
        <v>40.134999999999998</v>
      </c>
      <c r="F14" s="58">
        <v>31.468</v>
      </c>
      <c r="G14" s="58">
        <v>31.218</v>
      </c>
      <c r="H14" s="58">
        <v>33.402999999999999</v>
      </c>
      <c r="I14" s="59">
        <f t="shared" si="4"/>
        <v>36.951999999999998</v>
      </c>
      <c r="J14" s="58">
        <v>8.6329999999999991</v>
      </c>
      <c r="K14" s="58">
        <v>9.5180000000000007</v>
      </c>
      <c r="L14" s="58">
        <v>10.191000000000001</v>
      </c>
      <c r="M14" s="58">
        <f t="shared" si="0"/>
        <v>11.792999999999999</v>
      </c>
      <c r="N14" s="58">
        <v>6.0830000000000002</v>
      </c>
      <c r="O14" s="58">
        <v>9.4359999999999999</v>
      </c>
      <c r="P14" s="58">
        <v>6.8150000000000004</v>
      </c>
      <c r="Q14" s="58">
        <f t="shared" si="1"/>
        <v>9.1340000000000003</v>
      </c>
      <c r="R14" s="58">
        <v>6.7990000000000004</v>
      </c>
      <c r="S14" s="58">
        <v>6.8129999999999997</v>
      </c>
      <c r="T14" s="58">
        <v>7.5309999999999997</v>
      </c>
      <c r="U14" s="58">
        <f t="shared" si="2"/>
        <v>10.074999999999999</v>
      </c>
      <c r="V14" s="58">
        <v>7.2629999999999999</v>
      </c>
      <c r="W14" s="58">
        <v>8.1969999999999992</v>
      </c>
      <c r="X14" s="58">
        <v>8.1010000000000009</v>
      </c>
      <c r="Y14" s="58">
        <f t="shared" si="3"/>
        <v>9.8419999999999987</v>
      </c>
      <c r="Z14" s="58">
        <v>8.93</v>
      </c>
      <c r="AA14" s="58">
        <v>10.079000000000001</v>
      </c>
      <c r="AB14" s="23"/>
      <c r="AC14"/>
      <c r="AD14"/>
    </row>
    <row r="15" spans="2:32" ht="9.9499999999999993" customHeight="1" x14ac:dyDescent="0.2">
      <c r="C15" s="55" t="s">
        <v>217</v>
      </c>
      <c r="D15" s="55"/>
      <c r="E15" s="58">
        <v>16.696999999999999</v>
      </c>
      <c r="F15" s="58">
        <v>16.494</v>
      </c>
      <c r="G15" s="58">
        <v>20.201000000000001</v>
      </c>
      <c r="H15" s="58">
        <v>26.638999999999999</v>
      </c>
      <c r="I15" s="59">
        <f t="shared" si="4"/>
        <v>27.007999999999999</v>
      </c>
      <c r="J15" s="58">
        <v>4.2060000000000004</v>
      </c>
      <c r="K15" s="58">
        <v>3.9670000000000001</v>
      </c>
      <c r="L15" s="58">
        <v>4.5739999999999998</v>
      </c>
      <c r="M15" s="58">
        <f t="shared" si="0"/>
        <v>3.9499999999999993</v>
      </c>
      <c r="N15" s="58">
        <v>4.133</v>
      </c>
      <c r="O15" s="58">
        <v>4.0270000000000001</v>
      </c>
      <c r="P15" s="58">
        <v>4.194</v>
      </c>
      <c r="Q15" s="58">
        <f t="shared" si="1"/>
        <v>4.1400000000000006</v>
      </c>
      <c r="R15" s="58">
        <v>4.6449999999999996</v>
      </c>
      <c r="S15" s="58">
        <v>5.2249999999999996</v>
      </c>
      <c r="T15" s="58">
        <v>5.508</v>
      </c>
      <c r="U15" s="58">
        <f t="shared" si="2"/>
        <v>4.8230000000000004</v>
      </c>
      <c r="V15" s="58">
        <v>6.1790000000000003</v>
      </c>
      <c r="W15" s="58">
        <v>6.4749999999999996</v>
      </c>
      <c r="X15" s="58">
        <v>6.7290000000000001</v>
      </c>
      <c r="Y15" s="58">
        <f t="shared" si="3"/>
        <v>7.2560000000000002</v>
      </c>
      <c r="Z15" s="58">
        <v>6.3460000000000001</v>
      </c>
      <c r="AA15" s="422">
        <v>6.6769999999999996</v>
      </c>
      <c r="AB15" s="421"/>
      <c r="AC15"/>
      <c r="AD15"/>
    </row>
    <row r="16" spans="2:32" ht="9.9499999999999993" customHeight="1" x14ac:dyDescent="0.2">
      <c r="C16" s="279" t="s">
        <v>218</v>
      </c>
      <c r="D16" s="279"/>
      <c r="E16" s="280">
        <v>223.506</v>
      </c>
      <c r="F16" s="281">
        <v>203.738</v>
      </c>
      <c r="G16" s="280">
        <v>210.27699999999999</v>
      </c>
      <c r="H16" s="280">
        <v>230.51499999999999</v>
      </c>
      <c r="I16" s="60">
        <f t="shared" si="4"/>
        <v>246.21399999999997</v>
      </c>
      <c r="J16" s="280">
        <v>49.832999999999998</v>
      </c>
      <c r="K16" s="280">
        <v>54.488</v>
      </c>
      <c r="L16" s="280">
        <v>57.293999999999997</v>
      </c>
      <c r="M16" s="280">
        <f t="shared" si="0"/>
        <v>61.890999999999991</v>
      </c>
      <c r="N16" s="280">
        <v>47.475000000000001</v>
      </c>
      <c r="O16" s="280">
        <v>52.353999999999999</v>
      </c>
      <c r="P16" s="280">
        <v>46.765999999999998</v>
      </c>
      <c r="Q16" s="280">
        <f t="shared" si="1"/>
        <v>57.143000000000001</v>
      </c>
      <c r="R16" s="280">
        <v>49.231000000000002</v>
      </c>
      <c r="S16" s="280">
        <v>48.058</v>
      </c>
      <c r="T16" s="280">
        <v>53.682000000000002</v>
      </c>
      <c r="U16" s="280">
        <f t="shared" si="2"/>
        <v>59.305999999999983</v>
      </c>
      <c r="V16" s="280">
        <v>52.695</v>
      </c>
      <c r="W16" s="280">
        <v>54.710999999999999</v>
      </c>
      <c r="X16" s="280">
        <v>59.851999999999997</v>
      </c>
      <c r="Y16" s="280">
        <f t="shared" si="3"/>
        <v>63.256999999999977</v>
      </c>
      <c r="Z16" s="280">
        <v>59.723999999999997</v>
      </c>
      <c r="AA16" s="280">
        <v>63.381</v>
      </c>
      <c r="AB16" s="23"/>
      <c r="AC16"/>
      <c r="AD16"/>
    </row>
    <row r="17" spans="2:30" ht="9.9499999999999993" customHeight="1" x14ac:dyDescent="0.2">
      <c r="C17" s="55" t="s">
        <v>219</v>
      </c>
      <c r="D17" s="55"/>
      <c r="E17" s="58">
        <v>88.510999999999996</v>
      </c>
      <c r="F17" s="58">
        <v>85.975999999999999</v>
      </c>
      <c r="G17" s="58">
        <v>83.3</v>
      </c>
      <c r="H17" s="58">
        <v>84.466999999999999</v>
      </c>
      <c r="I17" s="59">
        <f t="shared" si="4"/>
        <v>85.876999999999995</v>
      </c>
      <c r="J17" s="58">
        <v>22.782</v>
      </c>
      <c r="K17" s="58">
        <v>21.773</v>
      </c>
      <c r="L17" s="58">
        <v>21.605</v>
      </c>
      <c r="M17" s="58">
        <f t="shared" si="0"/>
        <v>22.350999999999999</v>
      </c>
      <c r="N17" s="58">
        <v>22.334</v>
      </c>
      <c r="O17" s="58">
        <v>20.867999999999999</v>
      </c>
      <c r="P17" s="58">
        <v>21.324000000000002</v>
      </c>
      <c r="Q17" s="58">
        <f t="shared" si="1"/>
        <v>21.450000000000003</v>
      </c>
      <c r="R17" s="58">
        <v>21.213999999999999</v>
      </c>
      <c r="S17" s="58">
        <v>19.452999999999999</v>
      </c>
      <c r="T17" s="58">
        <v>21.010999999999999</v>
      </c>
      <c r="U17" s="58">
        <f t="shared" si="2"/>
        <v>21.622</v>
      </c>
      <c r="V17" s="58">
        <v>19.545000000000002</v>
      </c>
      <c r="W17" s="58">
        <v>20.963999999999999</v>
      </c>
      <c r="X17" s="58">
        <v>21.530999999999999</v>
      </c>
      <c r="Y17" s="58">
        <f t="shared" si="3"/>
        <v>22.427</v>
      </c>
      <c r="Z17" s="58">
        <v>20.013999999999999</v>
      </c>
      <c r="AA17" s="58">
        <v>21.905000000000001</v>
      </c>
      <c r="AB17" s="23"/>
      <c r="AC17"/>
      <c r="AD17"/>
    </row>
    <row r="18" spans="2:30" ht="9.9499999999999993" customHeight="1" x14ac:dyDescent="0.2">
      <c r="C18" s="55" t="s">
        <v>220</v>
      </c>
      <c r="D18" s="55"/>
      <c r="E18" s="58">
        <v>58.398000000000003</v>
      </c>
      <c r="F18" s="58">
        <v>55.228999999999999</v>
      </c>
      <c r="G18" s="58">
        <v>57.725999999999999</v>
      </c>
      <c r="H18" s="58">
        <v>69.103999999999999</v>
      </c>
      <c r="I18" s="59">
        <f t="shared" si="4"/>
        <v>77.119</v>
      </c>
      <c r="J18" s="58">
        <v>12.887</v>
      </c>
      <c r="K18" s="58">
        <v>14.234999999999999</v>
      </c>
      <c r="L18" s="58">
        <v>14.36</v>
      </c>
      <c r="M18" s="58">
        <f t="shared" si="0"/>
        <v>16.916000000000004</v>
      </c>
      <c r="N18" s="58">
        <v>11.664999999999999</v>
      </c>
      <c r="O18" s="58">
        <v>13.965</v>
      </c>
      <c r="P18" s="58">
        <v>17.62</v>
      </c>
      <c r="Q18" s="58">
        <f t="shared" si="1"/>
        <v>11.978999999999999</v>
      </c>
      <c r="R18" s="58">
        <v>14.063000000000001</v>
      </c>
      <c r="S18" s="58">
        <v>14.737</v>
      </c>
      <c r="T18" s="58">
        <v>15.734</v>
      </c>
      <c r="U18" s="58">
        <f t="shared" si="2"/>
        <v>13.192</v>
      </c>
      <c r="V18" s="58">
        <v>15.9</v>
      </c>
      <c r="W18" s="58">
        <v>16.256</v>
      </c>
      <c r="X18" s="58">
        <v>18.376999999999999</v>
      </c>
      <c r="Y18" s="58">
        <f t="shared" si="3"/>
        <v>18.570999999999998</v>
      </c>
      <c r="Z18" s="58">
        <v>19.018000000000001</v>
      </c>
      <c r="AA18" s="58">
        <v>21.152999999999999</v>
      </c>
      <c r="AB18" s="23"/>
      <c r="AC18"/>
      <c r="AD18"/>
    </row>
    <row r="19" spans="2:30" ht="9.9499999999999993" customHeight="1" x14ac:dyDescent="0.2">
      <c r="C19" s="55" t="s">
        <v>221</v>
      </c>
      <c r="D19" s="55"/>
      <c r="E19" s="58">
        <v>23.518000000000001</v>
      </c>
      <c r="F19" s="58">
        <v>23.885000000000002</v>
      </c>
      <c r="G19" s="58">
        <v>25.283000000000001</v>
      </c>
      <c r="H19" s="58">
        <v>29.802</v>
      </c>
      <c r="I19" s="59">
        <f t="shared" si="4"/>
        <v>33.141999999999996</v>
      </c>
      <c r="J19" s="58">
        <v>6.1619999999999999</v>
      </c>
      <c r="K19" s="58">
        <v>5.3369999999999997</v>
      </c>
      <c r="L19" s="58">
        <v>5.6609999999999996</v>
      </c>
      <c r="M19" s="58">
        <f t="shared" si="0"/>
        <v>6.3580000000000041</v>
      </c>
      <c r="N19" s="58">
        <v>7.3090000000000002</v>
      </c>
      <c r="O19" s="58">
        <v>5.2549999999999999</v>
      </c>
      <c r="P19" s="58">
        <v>5.6130000000000004</v>
      </c>
      <c r="Q19" s="58">
        <f t="shared" si="1"/>
        <v>5.708000000000002</v>
      </c>
      <c r="R19" s="58">
        <v>6.7409999999999997</v>
      </c>
      <c r="S19" s="58">
        <v>5.952</v>
      </c>
      <c r="T19" s="58">
        <v>6.4939999999999998</v>
      </c>
      <c r="U19" s="58">
        <f t="shared" si="2"/>
        <v>6.0960000000000036</v>
      </c>
      <c r="V19" s="58">
        <v>8.4719999999999995</v>
      </c>
      <c r="W19" s="58">
        <v>7.18</v>
      </c>
      <c r="X19" s="58">
        <v>6.95</v>
      </c>
      <c r="Y19" s="58">
        <f t="shared" si="3"/>
        <v>7.1999999999999993</v>
      </c>
      <c r="Z19" s="58">
        <v>7.6929999999999996</v>
      </c>
      <c r="AA19" s="58">
        <v>11.298999999999999</v>
      </c>
      <c r="AB19" s="23"/>
      <c r="AC19"/>
      <c r="AD19"/>
    </row>
    <row r="20" spans="2:30" ht="9.9499999999999993" customHeight="1" x14ac:dyDescent="0.2">
      <c r="C20" s="279" t="s">
        <v>222</v>
      </c>
      <c r="D20" s="279"/>
      <c r="E20" s="280">
        <v>53.079000000000001</v>
      </c>
      <c r="F20" s="280">
        <v>38.648000000000003</v>
      </c>
      <c r="G20" s="280">
        <v>43.968000000000004</v>
      </c>
      <c r="H20" s="280">
        <v>47.142000000000003</v>
      </c>
      <c r="I20" s="60">
        <f t="shared" si="4"/>
        <v>50.076000000000008</v>
      </c>
      <c r="J20" s="280">
        <v>8.0020000000000007</v>
      </c>
      <c r="K20" s="280">
        <v>13.143000000000001</v>
      </c>
      <c r="L20" s="280">
        <v>15.667999999999999</v>
      </c>
      <c r="M20" s="280">
        <f t="shared" si="0"/>
        <v>16.265999999999998</v>
      </c>
      <c r="N20" s="280">
        <v>6.1669999999999998</v>
      </c>
      <c r="O20" s="280">
        <v>12.266</v>
      </c>
      <c r="P20" s="280">
        <v>2.2090000000000001</v>
      </c>
      <c r="Q20" s="280">
        <f t="shared" si="1"/>
        <v>18.006000000000004</v>
      </c>
      <c r="R20" s="280">
        <v>7.2130000000000001</v>
      </c>
      <c r="S20" s="280">
        <v>7.9160000000000004</v>
      </c>
      <c r="T20" s="280">
        <v>10.443</v>
      </c>
      <c r="U20" s="280">
        <f t="shared" si="2"/>
        <v>18.396000000000001</v>
      </c>
      <c r="V20" s="280">
        <v>8.7780000000000005</v>
      </c>
      <c r="W20" s="280">
        <v>10.311</v>
      </c>
      <c r="X20" s="280">
        <v>12.994</v>
      </c>
      <c r="Y20" s="280">
        <f t="shared" si="3"/>
        <v>15.059000000000005</v>
      </c>
      <c r="Z20" s="280">
        <v>12.999000000000001</v>
      </c>
      <c r="AA20" s="280">
        <v>9.0239999999999991</v>
      </c>
      <c r="AB20" s="23"/>
      <c r="AC20"/>
      <c r="AD20"/>
    </row>
    <row r="21" spans="2:30" ht="9.9499999999999993" customHeight="1" x14ac:dyDescent="0.2">
      <c r="C21" s="55" t="s">
        <v>223</v>
      </c>
      <c r="D21" s="55"/>
      <c r="E21" s="58">
        <v>1.304</v>
      </c>
      <c r="F21" s="58">
        <v>5.0780000000000003</v>
      </c>
      <c r="G21" s="58">
        <v>6.7469999999999999</v>
      </c>
      <c r="H21" s="58">
        <v>11.628</v>
      </c>
      <c r="I21" s="59">
        <f t="shared" si="4"/>
        <v>13.546999999999999</v>
      </c>
      <c r="J21" s="58">
        <v>0.11899999999999999</v>
      </c>
      <c r="K21" s="58">
        <v>0.184</v>
      </c>
      <c r="L21" s="58">
        <v>0.432</v>
      </c>
      <c r="M21" s="58">
        <f t="shared" si="0"/>
        <v>0.56900000000000006</v>
      </c>
      <c r="N21" s="58">
        <v>0.97299999999999998</v>
      </c>
      <c r="O21" s="58">
        <v>0.66200000000000003</v>
      </c>
      <c r="P21" s="58">
        <v>1.766</v>
      </c>
      <c r="Q21" s="58">
        <f t="shared" si="1"/>
        <v>1.6770000000000005</v>
      </c>
      <c r="R21" s="58">
        <v>1.681</v>
      </c>
      <c r="S21" s="58">
        <v>1.7609999999999999</v>
      </c>
      <c r="T21" s="58">
        <v>1.6339999999999999</v>
      </c>
      <c r="U21" s="58">
        <f t="shared" si="2"/>
        <v>1.6709999999999994</v>
      </c>
      <c r="V21" s="58">
        <v>1.79</v>
      </c>
      <c r="W21" s="58">
        <v>2.9940000000000002</v>
      </c>
      <c r="X21" s="58">
        <v>3.3860000000000001</v>
      </c>
      <c r="Y21" s="58">
        <f t="shared" si="3"/>
        <v>3.4579999999999984</v>
      </c>
      <c r="Z21" s="58">
        <v>3.383</v>
      </c>
      <c r="AA21" s="58">
        <v>3.32</v>
      </c>
      <c r="AB21" s="23"/>
      <c r="AC21"/>
      <c r="AD21"/>
    </row>
    <row r="22" spans="2:30" ht="9.9499999999999993" customHeight="1" x14ac:dyDescent="0.2">
      <c r="C22" s="55" t="s">
        <v>224</v>
      </c>
      <c r="D22" s="55"/>
      <c r="E22" s="58">
        <v>-1.667</v>
      </c>
      <c r="F22" s="58">
        <v>6.9000000000000006E-2</v>
      </c>
      <c r="G22" s="58">
        <v>7.3840000000000003</v>
      </c>
      <c r="H22" s="58">
        <v>-6.3479999999999999</v>
      </c>
      <c r="I22" s="59">
        <f t="shared" si="4"/>
        <v>-9.4609999999999985</v>
      </c>
      <c r="J22" s="58">
        <v>-0.63200000000000001</v>
      </c>
      <c r="K22" s="58">
        <v>0.30099999999999999</v>
      </c>
      <c r="L22" s="58">
        <v>-0.871</v>
      </c>
      <c r="M22" s="58">
        <f t="shared" si="0"/>
        <v>-0.46500000000000008</v>
      </c>
      <c r="N22" s="58">
        <v>-2.218</v>
      </c>
      <c r="O22" s="58">
        <v>1.8839999999999999</v>
      </c>
      <c r="P22" s="58">
        <v>0.98699999999999999</v>
      </c>
      <c r="Q22" s="58">
        <f t="shared" si="1"/>
        <v>-0.58399999999999985</v>
      </c>
      <c r="R22" s="58">
        <v>2.3260000000000001</v>
      </c>
      <c r="S22" s="58">
        <v>1.306</v>
      </c>
      <c r="T22" s="58">
        <v>2.3119999999999998</v>
      </c>
      <c r="U22" s="58">
        <f t="shared" si="2"/>
        <v>1.4400000000000004</v>
      </c>
      <c r="V22" s="58">
        <v>-0.09</v>
      </c>
      <c r="W22" s="58">
        <v>-1.3759999999999999</v>
      </c>
      <c r="X22" s="58">
        <v>-2.387</v>
      </c>
      <c r="Y22" s="58">
        <f t="shared" si="3"/>
        <v>-2.4950000000000001</v>
      </c>
      <c r="Z22" s="58">
        <v>-2.1579999999999999</v>
      </c>
      <c r="AA22" s="58">
        <v>-2.4209999999999998</v>
      </c>
      <c r="AB22" s="23"/>
      <c r="AC22"/>
      <c r="AD22"/>
    </row>
    <row r="23" spans="2:30" ht="9.9499999999999993" customHeight="1" x14ac:dyDescent="0.2">
      <c r="C23" s="279" t="s">
        <v>225</v>
      </c>
      <c r="D23" s="279"/>
      <c r="E23" s="280">
        <v>52.716000000000001</v>
      </c>
      <c r="F23" s="280">
        <v>43.795000000000002</v>
      </c>
      <c r="G23" s="280">
        <v>58.098999999999997</v>
      </c>
      <c r="H23" s="280">
        <v>52.421999999999997</v>
      </c>
      <c r="I23" s="60">
        <f t="shared" si="4"/>
        <v>54.162000000000006</v>
      </c>
      <c r="J23" s="280">
        <v>7.4889999999999999</v>
      </c>
      <c r="K23" s="280">
        <v>13.628</v>
      </c>
      <c r="L23" s="280">
        <v>15.228999999999999</v>
      </c>
      <c r="M23" s="280">
        <f t="shared" si="0"/>
        <v>16.369999999999997</v>
      </c>
      <c r="N23" s="280">
        <v>4.9219999999999997</v>
      </c>
      <c r="O23" s="280">
        <v>14.811999999999999</v>
      </c>
      <c r="P23" s="280">
        <v>4.9619999999999997</v>
      </c>
      <c r="Q23" s="280">
        <f t="shared" si="1"/>
        <v>19.099000000000004</v>
      </c>
      <c r="R23" s="280">
        <v>11.22</v>
      </c>
      <c r="S23" s="280">
        <v>10.983000000000001</v>
      </c>
      <c r="T23" s="280">
        <v>14.388999999999999</v>
      </c>
      <c r="U23" s="280">
        <f t="shared" si="2"/>
        <v>21.506999999999998</v>
      </c>
      <c r="V23" s="280">
        <v>10.478</v>
      </c>
      <c r="W23" s="280">
        <v>11.929</v>
      </c>
      <c r="X23" s="280">
        <v>13.993</v>
      </c>
      <c r="Y23" s="280">
        <f t="shared" si="3"/>
        <v>16.021999999999998</v>
      </c>
      <c r="Z23" s="280">
        <v>14.224</v>
      </c>
      <c r="AA23" s="280">
        <v>9.923</v>
      </c>
      <c r="AB23" s="23"/>
      <c r="AC23"/>
      <c r="AD23"/>
    </row>
    <row r="24" spans="2:30" ht="9.9499999999999993" customHeight="1" x14ac:dyDescent="0.2">
      <c r="C24" s="55" t="s">
        <v>226</v>
      </c>
      <c r="D24" s="55"/>
      <c r="E24" s="58">
        <v>5.8079999999999998</v>
      </c>
      <c r="F24" s="58">
        <v>3.8250000000000002</v>
      </c>
      <c r="G24" s="58">
        <v>7.9589999999999996</v>
      </c>
      <c r="H24" s="58">
        <v>10.285</v>
      </c>
      <c r="I24" s="59">
        <f t="shared" si="4"/>
        <v>11.192</v>
      </c>
      <c r="J24" s="58">
        <v>1.1399999999999999</v>
      </c>
      <c r="K24" s="58">
        <v>3.2120000000000002</v>
      </c>
      <c r="L24" s="58">
        <v>3.1160000000000001</v>
      </c>
      <c r="M24" s="58">
        <f t="shared" si="0"/>
        <v>-1.6600000000000001</v>
      </c>
      <c r="N24" s="58">
        <v>0.96399999999999997</v>
      </c>
      <c r="O24" s="58">
        <v>3.1859999999999999</v>
      </c>
      <c r="P24" s="58">
        <v>-1.5069999999999999</v>
      </c>
      <c r="Q24" s="58">
        <f t="shared" si="1"/>
        <v>1.1819999999999995</v>
      </c>
      <c r="R24" s="58">
        <v>1.494</v>
      </c>
      <c r="S24" s="58">
        <v>1.5069999999999999</v>
      </c>
      <c r="T24" s="58">
        <v>1.752</v>
      </c>
      <c r="U24" s="58">
        <f t="shared" si="2"/>
        <v>3.2059999999999995</v>
      </c>
      <c r="V24" s="58">
        <v>0.93500000000000005</v>
      </c>
      <c r="W24" s="58">
        <v>1.391</v>
      </c>
      <c r="X24" s="58">
        <v>1.802</v>
      </c>
      <c r="Y24" s="58">
        <f t="shared" si="3"/>
        <v>6.157</v>
      </c>
      <c r="Z24" s="58">
        <v>2.1920000000000002</v>
      </c>
      <c r="AA24" s="58">
        <v>1.0409999999999999</v>
      </c>
      <c r="AB24" s="23"/>
      <c r="AC24"/>
      <c r="AD24"/>
    </row>
    <row r="25" spans="2:30" ht="9.9499999999999993" customHeight="1" x14ac:dyDescent="0.2">
      <c r="B25" s="97" t="s">
        <v>7</v>
      </c>
      <c r="C25" s="282" t="s">
        <v>227</v>
      </c>
      <c r="D25" s="282"/>
      <c r="E25" s="283">
        <v>46.908000000000001</v>
      </c>
      <c r="F25" s="283">
        <v>39.97</v>
      </c>
      <c r="G25" s="283">
        <v>50.14</v>
      </c>
      <c r="H25" s="283">
        <v>42.137</v>
      </c>
      <c r="I25" s="61">
        <f t="shared" si="4"/>
        <v>42.970000000000006</v>
      </c>
      <c r="J25" s="283">
        <v>6.3490000000000002</v>
      </c>
      <c r="K25" s="283">
        <v>10.416</v>
      </c>
      <c r="L25" s="283">
        <v>12.113</v>
      </c>
      <c r="M25" s="283">
        <f t="shared" si="0"/>
        <v>18.03</v>
      </c>
      <c r="N25" s="283">
        <v>3.9580000000000002</v>
      </c>
      <c r="O25" s="283">
        <v>11.625999999999999</v>
      </c>
      <c r="P25" s="283">
        <v>6.4690000000000003</v>
      </c>
      <c r="Q25" s="283">
        <f t="shared" si="1"/>
        <v>17.916999999999998</v>
      </c>
      <c r="R25" s="283">
        <v>9.7260000000000009</v>
      </c>
      <c r="S25" s="283">
        <v>9.4760000000000009</v>
      </c>
      <c r="T25" s="283">
        <v>12.637</v>
      </c>
      <c r="U25" s="283">
        <f t="shared" si="2"/>
        <v>18.300999999999998</v>
      </c>
      <c r="V25" s="283">
        <v>9.5429999999999993</v>
      </c>
      <c r="W25" s="283">
        <v>10.538</v>
      </c>
      <c r="X25" s="283">
        <v>12.191000000000001</v>
      </c>
      <c r="Y25" s="283">
        <f t="shared" si="3"/>
        <v>9.865000000000002</v>
      </c>
      <c r="Z25" s="283">
        <v>12.032</v>
      </c>
      <c r="AA25" s="283">
        <v>8.8819999999999997</v>
      </c>
      <c r="AB25" s="32"/>
      <c r="AC25"/>
      <c r="AD25"/>
    </row>
    <row r="26" spans="2:30" ht="4.3499999999999996" customHeight="1" x14ac:dyDescent="0.2">
      <c r="B26" s="35"/>
      <c r="C26" s="64"/>
      <c r="D26" s="64"/>
      <c r="E26" s="92"/>
      <c r="F26" s="92"/>
      <c r="G26" s="92"/>
      <c r="H26" s="92"/>
      <c r="I26" s="93"/>
      <c r="J26" s="92"/>
      <c r="K26" s="92"/>
      <c r="L26" s="92"/>
      <c r="M26" s="92"/>
      <c r="N26" s="92"/>
      <c r="O26" s="92"/>
      <c r="P26" s="92"/>
      <c r="Q26" s="92"/>
      <c r="R26" s="92"/>
      <c r="S26" s="92"/>
      <c r="T26" s="92"/>
      <c r="U26" s="92"/>
      <c r="V26" s="92"/>
      <c r="W26" s="92"/>
      <c r="X26" s="92"/>
      <c r="Y26" s="92"/>
      <c r="Z26" s="92"/>
      <c r="AA26" s="92"/>
      <c r="AB26" s="32"/>
      <c r="AC26"/>
      <c r="AD26"/>
    </row>
    <row r="27" spans="2:30" hidden="1" outlineLevel="1" x14ac:dyDescent="0.2">
      <c r="C27" s="30" t="s">
        <v>228</v>
      </c>
      <c r="D27" s="30"/>
      <c r="E27" s="29"/>
      <c r="F27" s="29"/>
      <c r="G27" s="29"/>
      <c r="H27" s="29"/>
      <c r="I27" s="29"/>
      <c r="J27" s="29"/>
      <c r="K27" s="29"/>
      <c r="L27" s="29"/>
      <c r="M27" s="25"/>
      <c r="N27" s="29"/>
      <c r="O27" s="29"/>
      <c r="P27" s="29"/>
      <c r="Q27" s="25"/>
      <c r="R27" s="29"/>
      <c r="S27" s="29"/>
      <c r="T27" s="29"/>
      <c r="U27" s="25"/>
      <c r="V27" s="29"/>
      <c r="W27" s="29"/>
      <c r="X27" s="29"/>
      <c r="Y27" s="25"/>
      <c r="Z27" s="29"/>
      <c r="AA27" s="29"/>
      <c r="AB27" s="28"/>
    </row>
    <row r="28" spans="2:30" hidden="1" outlineLevel="1" x14ac:dyDescent="0.2">
      <c r="C28" s="27" t="s">
        <v>229</v>
      </c>
      <c r="D28" s="27"/>
      <c r="E28" s="26"/>
      <c r="F28" s="26"/>
      <c r="G28" s="26"/>
      <c r="H28" s="26"/>
      <c r="I28" s="26"/>
      <c r="J28" s="52">
        <v>0.08</v>
      </c>
      <c r="K28" s="52">
        <v>0.14000000000000001</v>
      </c>
      <c r="L28" s="52">
        <v>0.16</v>
      </c>
      <c r="M28" s="37"/>
      <c r="N28" s="52">
        <v>0.05</v>
      </c>
      <c r="O28" s="52">
        <v>0.16</v>
      </c>
      <c r="P28" s="52">
        <v>0.09</v>
      </c>
      <c r="Q28" s="37"/>
      <c r="R28" s="52">
        <v>0.13</v>
      </c>
      <c r="S28" s="52">
        <v>0.13</v>
      </c>
      <c r="T28" s="52">
        <v>0.17</v>
      </c>
      <c r="U28" s="37"/>
      <c r="V28" s="52">
        <v>0.13</v>
      </c>
      <c r="W28" s="52">
        <v>0.15</v>
      </c>
      <c r="X28" s="52">
        <v>0.17</v>
      </c>
      <c r="Y28" s="37"/>
      <c r="Z28" s="52">
        <v>0.17</v>
      </c>
      <c r="AA28" s="52">
        <v>0.12</v>
      </c>
      <c r="AB28" s="31"/>
    </row>
    <row r="29" spans="2:30" hidden="1" outlineLevel="1" x14ac:dyDescent="0.2">
      <c r="C29" s="27" t="s">
        <v>230</v>
      </c>
      <c r="D29" s="27"/>
      <c r="E29" s="26"/>
      <c r="F29" s="26"/>
      <c r="G29" s="26"/>
      <c r="H29" s="26"/>
      <c r="I29" s="26"/>
      <c r="J29" s="52">
        <v>0.08</v>
      </c>
      <c r="K29" s="52">
        <v>0.13</v>
      </c>
      <c r="L29" s="52">
        <v>0.16</v>
      </c>
      <c r="M29" s="37"/>
      <c r="N29" s="52">
        <v>0.05</v>
      </c>
      <c r="O29" s="52">
        <v>0.15</v>
      </c>
      <c r="P29" s="52">
        <v>0.09</v>
      </c>
      <c r="Q29" s="37"/>
      <c r="R29" s="52">
        <v>0.13</v>
      </c>
      <c r="S29" s="52">
        <v>0.13</v>
      </c>
      <c r="T29" s="52">
        <v>0.17</v>
      </c>
      <c r="U29" s="37"/>
      <c r="V29" s="52">
        <v>0.13</v>
      </c>
      <c r="W29" s="52">
        <v>0.14000000000000001</v>
      </c>
      <c r="X29" s="52">
        <v>0.17</v>
      </c>
      <c r="Y29" s="37"/>
      <c r="Z29" s="52">
        <v>0.17</v>
      </c>
      <c r="AA29" s="52">
        <v>0.12</v>
      </c>
      <c r="AB29" s="31"/>
    </row>
    <row r="30" spans="2:30" hidden="1" outlineLevel="1" x14ac:dyDescent="0.2">
      <c r="C30" s="30" t="s">
        <v>231</v>
      </c>
      <c r="D30" s="30"/>
      <c r="E30" s="29"/>
      <c r="F30" s="29"/>
      <c r="G30" s="29"/>
      <c r="H30" s="29"/>
      <c r="I30" s="29"/>
      <c r="J30" s="29"/>
      <c r="K30" s="29"/>
      <c r="L30" s="29"/>
      <c r="M30" s="25"/>
      <c r="N30" s="29"/>
      <c r="O30" s="29"/>
      <c r="P30" s="29"/>
      <c r="Q30" s="25"/>
      <c r="R30" s="29"/>
      <c r="S30" s="29"/>
      <c r="T30" s="29"/>
      <c r="U30" s="25"/>
      <c r="V30" s="29"/>
      <c r="W30" s="29"/>
      <c r="X30" s="29"/>
      <c r="Y30" s="25"/>
      <c r="Z30" s="29"/>
      <c r="AA30" s="29"/>
      <c r="AB30" s="28"/>
    </row>
    <row r="31" spans="2:30" hidden="1" outlineLevel="1" x14ac:dyDescent="0.2">
      <c r="C31" s="27" t="s">
        <v>229</v>
      </c>
      <c r="D31" s="27"/>
      <c r="E31" s="26"/>
      <c r="F31" s="26"/>
      <c r="G31" s="26"/>
      <c r="H31" s="26"/>
      <c r="I31" s="26"/>
      <c r="J31" s="51">
        <v>76795</v>
      </c>
      <c r="K31" s="51">
        <v>75893</v>
      </c>
      <c r="L31" s="51">
        <v>75881</v>
      </c>
      <c r="M31" s="25"/>
      <c r="N31" s="51">
        <v>74001</v>
      </c>
      <c r="O31" s="51">
        <v>74017</v>
      </c>
      <c r="P31" s="51">
        <v>74526</v>
      </c>
      <c r="Q31" s="25"/>
      <c r="R31" s="51">
        <v>74451</v>
      </c>
      <c r="S31" s="51">
        <v>74366</v>
      </c>
      <c r="T31" s="51">
        <v>73823</v>
      </c>
      <c r="U31" s="25"/>
      <c r="V31" s="51">
        <v>73555</v>
      </c>
      <c r="W31" s="51">
        <v>72009</v>
      </c>
      <c r="X31" s="51">
        <v>71891</v>
      </c>
      <c r="Y31" s="25"/>
      <c r="Z31" s="51">
        <v>71667</v>
      </c>
      <c r="AA31" s="51">
        <v>72161</v>
      </c>
      <c r="AB31" s="23"/>
    </row>
    <row r="32" spans="2:30" hidden="1" outlineLevel="1" x14ac:dyDescent="0.2">
      <c r="C32" s="27" t="s">
        <v>230</v>
      </c>
      <c r="D32" s="27"/>
      <c r="E32" s="26"/>
      <c r="F32" s="26"/>
      <c r="G32" s="26"/>
      <c r="H32" s="26"/>
      <c r="I32" s="26"/>
      <c r="J32" s="51">
        <v>79285</v>
      </c>
      <c r="K32" s="51">
        <v>78306</v>
      </c>
      <c r="L32" s="51">
        <v>77679</v>
      </c>
      <c r="M32" s="25"/>
      <c r="N32" s="51">
        <v>75541</v>
      </c>
      <c r="O32" s="51">
        <v>75428</v>
      </c>
      <c r="P32" s="51">
        <v>75807</v>
      </c>
      <c r="Q32" s="25"/>
      <c r="R32" s="51">
        <v>75318</v>
      </c>
      <c r="S32" s="51">
        <v>75497</v>
      </c>
      <c r="T32" s="51">
        <v>74780</v>
      </c>
      <c r="U32" s="25"/>
      <c r="V32" s="51">
        <v>75048</v>
      </c>
      <c r="W32" s="51">
        <v>73117</v>
      </c>
      <c r="X32" s="51">
        <v>73046</v>
      </c>
      <c r="Y32" s="25"/>
      <c r="Z32" s="51">
        <v>72915</v>
      </c>
      <c r="AA32" s="51">
        <v>75651</v>
      </c>
      <c r="AB32" s="23"/>
    </row>
    <row r="33" spans="2:30" ht="9.9499999999999993" customHeight="1" collapsed="1" x14ac:dyDescent="0.2">
      <c r="C33" s="104" t="s">
        <v>232</v>
      </c>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6"/>
    </row>
    <row r="34" spans="2:30" ht="9.9499999999999993" customHeight="1" x14ac:dyDescent="0.2">
      <c r="C34" s="107" t="s">
        <v>233</v>
      </c>
      <c r="D34" s="101"/>
      <c r="E34" s="103" t="str">
        <f t="shared" ref="E34:I36" si="5">IFERROR(E11/D11-1,"n.a.")</f>
        <v>n.a.</v>
      </c>
      <c r="F34" s="103">
        <f>IFERROR(F11/E11-1,"n.a.")</f>
        <v>-0.18544350205830218</v>
      </c>
      <c r="G34" s="103">
        <f t="shared" si="5"/>
        <v>-9.0940020697182211E-3</v>
      </c>
      <c r="H34" s="103">
        <f t="shared" si="5"/>
        <v>0.19518737616148907</v>
      </c>
      <c r="I34" s="103">
        <f t="shared" si="5"/>
        <v>0.10687909220401481</v>
      </c>
      <c r="J34" s="103" t="s">
        <v>171</v>
      </c>
      <c r="K34" s="103" t="s">
        <v>171</v>
      </c>
      <c r="L34" s="103" t="s">
        <v>171</v>
      </c>
      <c r="M34" s="103" t="s">
        <v>171</v>
      </c>
      <c r="N34" s="103">
        <f t="shared" ref="N34:AA36" si="6">IFERROR(N11/J11-1,"n.a.")</f>
        <v>-0.15826697260089084</v>
      </c>
      <c r="O34" s="103">
        <f t="shared" si="6"/>
        <v>-5.7504520795660041E-2</v>
      </c>
      <c r="P34" s="103">
        <f t="shared" si="6"/>
        <v>-0.32910606598084424</v>
      </c>
      <c r="Q34" s="103">
        <f t="shared" si="6"/>
        <v>-0.18208040018557003</v>
      </c>
      <c r="R34" s="103">
        <f t="shared" si="6"/>
        <v>-3.5693669424668117E-2</v>
      </c>
      <c r="S34" s="103">
        <f t="shared" si="6"/>
        <v>-0.24448708109490924</v>
      </c>
      <c r="T34" s="103">
        <f t="shared" si="6"/>
        <v>0.21817580964970262</v>
      </c>
      <c r="U34" s="103">
        <f t="shared" si="6"/>
        <v>6.8680641183724411E-2</v>
      </c>
      <c r="V34" s="103">
        <f t="shared" si="6"/>
        <v>0.19654793973860119</v>
      </c>
      <c r="W34" s="103">
        <f t="shared" si="6"/>
        <v>0.32641451935123422</v>
      </c>
      <c r="X34" s="103">
        <f t="shared" si="6"/>
        <v>0.16946991481742724</v>
      </c>
      <c r="Y34" s="103">
        <f t="shared" si="6"/>
        <v>0.12668743509865021</v>
      </c>
      <c r="Z34" s="103">
        <f t="shared" si="6"/>
        <v>0.22254648544984579</v>
      </c>
      <c r="AA34" s="108">
        <f t="shared" si="6"/>
        <v>0.25147422969902733</v>
      </c>
    </row>
    <row r="35" spans="2:30" ht="9.9499999999999993" customHeight="1" x14ac:dyDescent="0.2">
      <c r="C35" s="107" t="s">
        <v>234</v>
      </c>
      <c r="D35" s="101"/>
      <c r="E35" s="103" t="str">
        <f t="shared" si="5"/>
        <v>n.a.</v>
      </c>
      <c r="F35" s="103">
        <f t="shared" si="5"/>
        <v>3.2491109513986816E-2</v>
      </c>
      <c r="G35" s="103">
        <f t="shared" si="5"/>
        <v>0.10196351407546711</v>
      </c>
      <c r="H35" s="103">
        <f t="shared" si="5"/>
        <v>1.2912540915691162E-2</v>
      </c>
      <c r="I35" s="103">
        <f t="shared" si="5"/>
        <v>1.4246260255444509E-2</v>
      </c>
      <c r="J35" s="103" t="s">
        <v>171</v>
      </c>
      <c r="K35" s="103" t="s">
        <v>171</v>
      </c>
      <c r="L35" s="103" t="s">
        <v>171</v>
      </c>
      <c r="M35" s="103" t="s">
        <v>171</v>
      </c>
      <c r="N35" s="103">
        <f t="shared" si="6"/>
        <v>3.441682600382423E-2</v>
      </c>
      <c r="O35" s="103">
        <f t="shared" si="6"/>
        <v>8.6421616725791406E-3</v>
      </c>
      <c r="P35" s="103">
        <f t="shared" si="6"/>
        <v>2.0775366351326374E-2</v>
      </c>
      <c r="Q35" s="103">
        <f t="shared" si="6"/>
        <v>6.4511530099439884E-2</v>
      </c>
      <c r="R35" s="103">
        <f t="shared" si="6"/>
        <v>0.15455128446942545</v>
      </c>
      <c r="S35" s="103">
        <f t="shared" si="6"/>
        <v>0.14352527406742244</v>
      </c>
      <c r="T35" s="103">
        <f t="shared" si="6"/>
        <v>8.5189896420134525E-2</v>
      </c>
      <c r="U35" s="103">
        <f t="shared" si="6"/>
        <v>3.3548732715037444E-2</v>
      </c>
      <c r="V35" s="103">
        <f t="shared" si="6"/>
        <v>-1.4637652747827246E-2</v>
      </c>
      <c r="W35" s="103">
        <f t="shared" si="6"/>
        <v>-1.1549913293852021E-2</v>
      </c>
      <c r="X35" s="103">
        <f t="shared" si="6"/>
        <v>5.7403128035098172E-2</v>
      </c>
      <c r="Y35" s="103">
        <f t="shared" si="6"/>
        <v>2.1413068126599155E-2</v>
      </c>
      <c r="Z35" s="103">
        <f t="shared" si="6"/>
        <v>2.8383845082565085E-2</v>
      </c>
      <c r="AA35" s="108">
        <f t="shared" si="6"/>
        <v>2.989076464746776E-2</v>
      </c>
    </row>
    <row r="36" spans="2:30" ht="9.9499999999999993" customHeight="1" x14ac:dyDescent="0.2">
      <c r="C36" s="107" t="s">
        <v>235</v>
      </c>
      <c r="D36" s="101"/>
      <c r="E36" s="103" t="str">
        <f t="shared" si="5"/>
        <v>n.a.</v>
      </c>
      <c r="F36" s="103">
        <f>IFERROR(F13/E13-1,"n.a.")</f>
        <v>-0.10215525544164561</v>
      </c>
      <c r="G36" s="103">
        <f t="shared" si="5"/>
        <v>3.9713945172825005E-2</v>
      </c>
      <c r="H36" s="103">
        <f t="shared" si="5"/>
        <v>0.11028445218879912</v>
      </c>
      <c r="I36" s="103">
        <f t="shared" si="5"/>
        <v>6.7515151932323159E-2</v>
      </c>
      <c r="J36" s="103" t="s">
        <v>171</v>
      </c>
      <c r="K36" s="103" t="s">
        <v>171</v>
      </c>
      <c r="L36" s="103" t="s">
        <v>171</v>
      </c>
      <c r="M36" s="103" t="s">
        <v>171</v>
      </c>
      <c r="N36" s="103">
        <f t="shared" si="6"/>
        <v>-7.9477278529486717E-2</v>
      </c>
      <c r="O36" s="103">
        <f t="shared" si="6"/>
        <v>-3.1718476453886146E-2</v>
      </c>
      <c r="P36" s="103">
        <f t="shared" si="6"/>
        <v>-0.1982264533229714</v>
      </c>
      <c r="Q36" s="103">
        <f t="shared" si="6"/>
        <v>-9.2961846613597632E-2</v>
      </c>
      <c r="R36" s="103">
        <f t="shared" si="6"/>
        <v>5.1723839073685607E-2</v>
      </c>
      <c r="S36" s="103">
        <f t="shared" si="6"/>
        <v>-8.6922831487305618E-2</v>
      </c>
      <c r="T36" s="103">
        <f t="shared" si="6"/>
        <v>0.15484205971440934</v>
      </c>
      <c r="U36" s="103">
        <f t="shared" si="6"/>
        <v>5.3779627078688774E-2</v>
      </c>
      <c r="V36" s="103">
        <f t="shared" si="6"/>
        <v>9.0020601565719005E-2</v>
      </c>
      <c r="W36" s="103">
        <f t="shared" si="6"/>
        <v>0.1545360756123535</v>
      </c>
      <c r="X36" s="103">
        <f t="shared" si="6"/>
        <v>0.11931775602883654</v>
      </c>
      <c r="Y36" s="103">
        <f t="shared" si="6"/>
        <v>8.2893105492965136E-2</v>
      </c>
      <c r="Z36" s="103">
        <f t="shared" si="6"/>
        <v>0.13400970712309301</v>
      </c>
      <c r="AA36" s="108">
        <f t="shared" si="6"/>
        <v>0.15499473934537278</v>
      </c>
      <c r="AD36" s="99"/>
    </row>
    <row r="37" spans="2:30" ht="9.9499999999999993" customHeight="1" x14ac:dyDescent="0.2">
      <c r="C37" s="107" t="s">
        <v>236</v>
      </c>
      <c r="D37" s="101"/>
      <c r="E37" s="103">
        <f t="shared" ref="E37:AA37" si="7">E14/E11</f>
        <v>0.2317249900404732</v>
      </c>
      <c r="F37" s="103">
        <f>F14/F11</f>
        <v>0.2230475893452035</v>
      </c>
      <c r="G37" s="103">
        <f t="shared" si="7"/>
        <v>0.22330631835706979</v>
      </c>
      <c r="H37" s="103">
        <f t="shared" si="7"/>
        <v>0.19991501382521573</v>
      </c>
      <c r="I37" s="103">
        <f t="shared" si="7"/>
        <v>0.19980102084955442</v>
      </c>
      <c r="J37" s="103">
        <f t="shared" si="7"/>
        <v>0.23304089620731538</v>
      </c>
      <c r="K37" s="103">
        <f t="shared" si="7"/>
        <v>0.22948764315852924</v>
      </c>
      <c r="L37" s="103">
        <f t="shared" si="7"/>
        <v>0.22594448385952468</v>
      </c>
      <c r="M37" s="103">
        <f t="shared" si="7"/>
        <v>0.23787240050830027</v>
      </c>
      <c r="N37" s="103">
        <f t="shared" si="7"/>
        <v>0.19508049515746265</v>
      </c>
      <c r="O37" s="103">
        <f t="shared" si="7"/>
        <v>0.24139166027116907</v>
      </c>
      <c r="P37" s="103">
        <f t="shared" si="7"/>
        <v>0.22521480502313285</v>
      </c>
      <c r="Q37" s="103">
        <f t="shared" si="7"/>
        <v>0.22525277435265115</v>
      </c>
      <c r="R37" s="103">
        <f t="shared" si="7"/>
        <v>0.22611327280587984</v>
      </c>
      <c r="S37" s="103">
        <f t="shared" si="7"/>
        <v>0.23069109132157245</v>
      </c>
      <c r="T37" s="103">
        <f t="shared" si="7"/>
        <v>0.20430253377461882</v>
      </c>
      <c r="U37" s="103">
        <f t="shared" si="7"/>
        <v>0.23249105803622933</v>
      </c>
      <c r="V37" s="103">
        <f t="shared" si="7"/>
        <v>0.2018677561911115</v>
      </c>
      <c r="W37" s="103">
        <f t="shared" si="7"/>
        <v>0.20925127000740304</v>
      </c>
      <c r="X37" s="103">
        <f t="shared" si="7"/>
        <v>0.18791899603331091</v>
      </c>
      <c r="Y37" s="103">
        <f t="shared" si="7"/>
        <v>0.20157706093189953</v>
      </c>
      <c r="Z37" s="103">
        <f t="shared" si="7"/>
        <v>0.20301914245441732</v>
      </c>
      <c r="AA37" s="108">
        <f t="shared" si="7"/>
        <v>0.20559317885117495</v>
      </c>
    </row>
    <row r="38" spans="2:30" ht="9.9499999999999993" customHeight="1" x14ac:dyDescent="0.2">
      <c r="C38" s="107" t="s">
        <v>237</v>
      </c>
      <c r="D38" s="101"/>
      <c r="E38" s="103">
        <f t="shared" ref="E38:AA38" si="8">E15/E12</f>
        <v>0.15584718631285177</v>
      </c>
      <c r="F38" s="103">
        <f t="shared" si="8"/>
        <v>0.1491077401507892</v>
      </c>
      <c r="G38" s="103">
        <f t="shared" si="8"/>
        <v>0.16572187994782481</v>
      </c>
      <c r="H38" s="103">
        <f t="shared" si="8"/>
        <v>0.21575106705218228</v>
      </c>
      <c r="I38" s="103">
        <f t="shared" si="8"/>
        <v>0.21566717240277888</v>
      </c>
      <c r="J38" s="103">
        <f t="shared" si="8"/>
        <v>0.16412377570531084</v>
      </c>
      <c r="K38" s="103">
        <f t="shared" si="8"/>
        <v>0.14970941203109669</v>
      </c>
      <c r="L38" s="103">
        <f t="shared" si="8"/>
        <v>0.16969022444815435</v>
      </c>
      <c r="M38" s="103">
        <f t="shared" si="8"/>
        <v>0.14078483087999427</v>
      </c>
      <c r="N38" s="103">
        <f t="shared" si="8"/>
        <v>0.15590931381794862</v>
      </c>
      <c r="O38" s="103">
        <f t="shared" si="8"/>
        <v>0.15067160549257305</v>
      </c>
      <c r="P38" s="103">
        <f t="shared" si="8"/>
        <v>0.15242594948210067</v>
      </c>
      <c r="Q38" s="103">
        <f t="shared" si="8"/>
        <v>0.1386145243914689</v>
      </c>
      <c r="R38" s="103">
        <f t="shared" si="8"/>
        <v>0.15176762726262821</v>
      </c>
      <c r="S38" s="103">
        <f t="shared" si="8"/>
        <v>0.17095834832967968</v>
      </c>
      <c r="T38" s="103">
        <f t="shared" si="8"/>
        <v>0.18446699487591681</v>
      </c>
      <c r="U38" s="103">
        <f t="shared" si="8"/>
        <v>0.15624088891768434</v>
      </c>
      <c r="V38" s="103">
        <f t="shared" si="8"/>
        <v>0.20488759201538564</v>
      </c>
      <c r="W38" s="103">
        <f t="shared" si="8"/>
        <v>0.21433300231711352</v>
      </c>
      <c r="X38" s="103">
        <f t="shared" si="8"/>
        <v>0.21312513856776361</v>
      </c>
      <c r="Y38" s="103">
        <f t="shared" si="8"/>
        <v>0.23013003488740882</v>
      </c>
      <c r="Z38" s="103">
        <f t="shared" si="8"/>
        <v>0.20461726962017154</v>
      </c>
      <c r="AA38" s="108">
        <f t="shared" si="8"/>
        <v>0.21460482756404076</v>
      </c>
    </row>
    <row r="39" spans="2:30" ht="9.9499999999999993" customHeight="1" x14ac:dyDescent="0.2">
      <c r="C39" s="107" t="s">
        <v>238</v>
      </c>
      <c r="D39" s="101"/>
      <c r="E39" s="103">
        <f>E17/E$13</f>
        <v>0.31572958357411407</v>
      </c>
      <c r="F39" s="103">
        <f t="shared" ref="F39:AA39" si="9">F17/F$13</f>
        <v>0.34158124751688518</v>
      </c>
      <c r="G39" s="103">
        <f t="shared" si="9"/>
        <v>0.31830826607972607</v>
      </c>
      <c r="H39" s="103">
        <f t="shared" si="9"/>
        <v>0.29070715900838734</v>
      </c>
      <c r="I39" s="103">
        <f t="shared" si="9"/>
        <v>0.27686717777763442</v>
      </c>
      <c r="J39" s="103">
        <f t="shared" si="9"/>
        <v>0.36351161603267806</v>
      </c>
      <c r="K39" s="103">
        <f t="shared" si="9"/>
        <v>0.32031836170244066</v>
      </c>
      <c r="L39" s="103">
        <f t="shared" si="9"/>
        <v>0.29982375553365992</v>
      </c>
      <c r="M39" s="103">
        <f t="shared" si="9"/>
        <v>0.28790220779555331</v>
      </c>
      <c r="N39" s="103">
        <f t="shared" si="9"/>
        <v>0.3871314416460106</v>
      </c>
      <c r="O39" s="103">
        <f t="shared" si="9"/>
        <v>0.31706094170199189</v>
      </c>
      <c r="P39" s="103">
        <f t="shared" si="9"/>
        <v>0.36908697533535267</v>
      </c>
      <c r="Q39" s="103">
        <f t="shared" si="9"/>
        <v>0.30461394265589281</v>
      </c>
      <c r="R39" s="103">
        <f t="shared" si="9"/>
        <v>0.34963329213020189</v>
      </c>
      <c r="S39" s="103">
        <f t="shared" si="9"/>
        <v>0.32369874866879661</v>
      </c>
      <c r="T39" s="103">
        <f t="shared" si="9"/>
        <v>0.31490834969499854</v>
      </c>
      <c r="U39" s="103">
        <f t="shared" si="9"/>
        <v>0.2913859091154114</v>
      </c>
      <c r="V39" s="103">
        <f t="shared" si="9"/>
        <v>0.29552292967627808</v>
      </c>
      <c r="W39" s="103">
        <f t="shared" si="9"/>
        <v>0.30214894138333598</v>
      </c>
      <c r="X39" s="103">
        <f t="shared" si="9"/>
        <v>0.28830240218526548</v>
      </c>
      <c r="Y39" s="103">
        <f t="shared" si="9"/>
        <v>0.27909899819550738</v>
      </c>
      <c r="Z39" s="103">
        <f t="shared" si="9"/>
        <v>0.26685333333333333</v>
      </c>
      <c r="AA39" s="108">
        <f t="shared" si="9"/>
        <v>0.2733443977189064</v>
      </c>
    </row>
    <row r="40" spans="2:30" ht="9.9499999999999993" customHeight="1" x14ac:dyDescent="0.2">
      <c r="C40" s="107" t="s">
        <v>239</v>
      </c>
      <c r="D40" s="101"/>
      <c r="E40" s="103">
        <f t="shared" ref="E40:AA40" si="10">E18/E$13</f>
        <v>0.2083128223787</v>
      </c>
      <c r="F40" s="103">
        <f t="shared" si="10"/>
        <v>0.21942391736193884</v>
      </c>
      <c r="G40" s="103">
        <f t="shared" si="10"/>
        <v>0.22058418928833454</v>
      </c>
      <c r="H40" s="103">
        <f t="shared" si="10"/>
        <v>0.23783285207377552</v>
      </c>
      <c r="I40" s="103">
        <f t="shared" si="10"/>
        <v>0.24863141333574054</v>
      </c>
      <c r="J40" s="103">
        <f t="shared" si="10"/>
        <v>0.20562611692621907</v>
      </c>
      <c r="K40" s="103">
        <f t="shared" si="10"/>
        <v>0.20942138790402071</v>
      </c>
      <c r="L40" s="103">
        <f t="shared" si="10"/>
        <v>0.19928114461760502</v>
      </c>
      <c r="M40" s="103">
        <f t="shared" si="10"/>
        <v>0.21789422160393634</v>
      </c>
      <c r="N40" s="103">
        <f t="shared" si="10"/>
        <v>0.20219791648610699</v>
      </c>
      <c r="O40" s="103">
        <f t="shared" si="10"/>
        <v>0.21217922421258947</v>
      </c>
      <c r="P40" s="103">
        <f t="shared" si="10"/>
        <v>0.3049762007788836</v>
      </c>
      <c r="Q40" s="103">
        <f t="shared" si="10"/>
        <v>0.1701151710524447</v>
      </c>
      <c r="R40" s="103">
        <f t="shared" si="10"/>
        <v>0.23177585496497735</v>
      </c>
      <c r="S40" s="103">
        <f t="shared" si="10"/>
        <v>0.24522430777422791</v>
      </c>
      <c r="T40" s="103">
        <f t="shared" si="10"/>
        <v>0.23581780848608383</v>
      </c>
      <c r="U40" s="103">
        <f t="shared" si="10"/>
        <v>0.1777801735755484</v>
      </c>
      <c r="V40" s="103">
        <f t="shared" si="10"/>
        <v>0.2404100579100957</v>
      </c>
      <c r="W40" s="103">
        <f t="shared" si="10"/>
        <v>0.234293703068475</v>
      </c>
      <c r="X40" s="103">
        <f t="shared" si="10"/>
        <v>0.24607000348142791</v>
      </c>
      <c r="Y40" s="103">
        <f t="shared" si="10"/>
        <v>0.2311119407628647</v>
      </c>
      <c r="Z40" s="103">
        <f t="shared" si="10"/>
        <v>0.25357333333333332</v>
      </c>
      <c r="AA40" s="108">
        <f t="shared" si="10"/>
        <v>0.26396046769906534</v>
      </c>
    </row>
    <row r="41" spans="2:30" ht="9.9499999999999993" customHeight="1" x14ac:dyDescent="0.2">
      <c r="C41" s="107" t="s">
        <v>240</v>
      </c>
      <c r="D41" s="101"/>
      <c r="E41" s="103">
        <f t="shared" ref="E41:AA41" si="11">E19/E$13</f>
        <v>8.3891588011614546E-2</v>
      </c>
      <c r="F41" s="103">
        <f t="shared" si="11"/>
        <v>9.4894715931664694E-2</v>
      </c>
      <c r="G41" s="103">
        <f t="shared" si="11"/>
        <v>9.6612099535338711E-2</v>
      </c>
      <c r="H41" s="103">
        <f t="shared" si="11"/>
        <v>0.10256851495575739</v>
      </c>
      <c r="I41" s="103">
        <f t="shared" si="11"/>
        <v>0.10684970371468915</v>
      </c>
      <c r="J41" s="103">
        <f t="shared" si="11"/>
        <v>9.8321419453663517E-2</v>
      </c>
      <c r="K41" s="103">
        <f t="shared" si="11"/>
        <v>7.8516469774763509E-2</v>
      </c>
      <c r="L41" s="103">
        <f t="shared" si="11"/>
        <v>7.8560623933165874E-2</v>
      </c>
      <c r="M41" s="103">
        <f t="shared" si="11"/>
        <v>8.1897106937681957E-2</v>
      </c>
      <c r="N41" s="103">
        <f t="shared" si="11"/>
        <v>0.12669220502331385</v>
      </c>
      <c r="O41" s="103">
        <f t="shared" si="11"/>
        <v>7.9842593858729508E-2</v>
      </c>
      <c r="P41" s="103">
        <f t="shared" si="11"/>
        <v>9.7152747728256175E-2</v>
      </c>
      <c r="Q41" s="103">
        <f t="shared" si="11"/>
        <v>8.1059971313745288E-2</v>
      </c>
      <c r="R41" s="103">
        <f t="shared" si="11"/>
        <v>0.11110012360939431</v>
      </c>
      <c r="S41" s="103">
        <f t="shared" si="11"/>
        <v>9.9041533546325888E-2</v>
      </c>
      <c r="T41" s="103">
        <f t="shared" si="11"/>
        <v>9.7330675499467931E-2</v>
      </c>
      <c r="U41" s="103">
        <f t="shared" si="11"/>
        <v>8.2151905557651894E-2</v>
      </c>
      <c r="V41" s="103">
        <f t="shared" si="11"/>
        <v>0.12809773651662457</v>
      </c>
      <c r="W41" s="103">
        <f t="shared" si="11"/>
        <v>0.10348356225588401</v>
      </c>
      <c r="X41" s="103">
        <f t="shared" si="11"/>
        <v>9.3061246351195739E-2</v>
      </c>
      <c r="Y41" s="103">
        <f t="shared" si="11"/>
        <v>8.9602389397050564E-2</v>
      </c>
      <c r="Z41" s="103">
        <f t="shared" si="11"/>
        <v>0.10257333333333332</v>
      </c>
      <c r="AA41" s="108">
        <f t="shared" si="11"/>
        <v>0.14099604427418047</v>
      </c>
    </row>
    <row r="42" spans="2:30" ht="9.9499999999999993" customHeight="1" x14ac:dyDescent="0.2">
      <c r="C42" s="107" t="s">
        <v>241</v>
      </c>
      <c r="D42" s="101"/>
      <c r="E42" s="103">
        <f>E21/E$13</f>
        <v>4.6515277985859924E-3</v>
      </c>
      <c r="F42" s="103">
        <f t="shared" ref="F42:AA43" si="12">F21/F$13</f>
        <v>2.0174811283273742E-2</v>
      </c>
      <c r="G42" s="103">
        <f t="shared" si="12"/>
        <v>2.5781823184152602E-2</v>
      </c>
      <c r="H42" s="103">
        <f t="shared" si="12"/>
        <v>4.0019686326607171E-2</v>
      </c>
      <c r="I42" s="103">
        <f t="shared" si="12"/>
        <v>4.3675485372726267E-2</v>
      </c>
      <c r="J42" s="103">
        <f t="shared" si="12"/>
        <v>1.8987745723768189E-3</v>
      </c>
      <c r="K42" s="103">
        <f t="shared" si="12"/>
        <v>2.7069571741720976E-3</v>
      </c>
      <c r="L42" s="103">
        <f t="shared" si="12"/>
        <v>5.9950873589697329E-3</v>
      </c>
      <c r="M42" s="103">
        <f t="shared" si="12"/>
        <v>7.3292629517994661E-3</v>
      </c>
      <c r="N42" s="103">
        <f t="shared" si="12"/>
        <v>1.686571562288745E-2</v>
      </c>
      <c r="O42" s="103">
        <f t="shared" si="12"/>
        <v>1.0058191652612548E-2</v>
      </c>
      <c r="P42" s="103">
        <f t="shared" si="12"/>
        <v>3.0566854175681526E-2</v>
      </c>
      <c r="Q42" s="103">
        <f t="shared" si="12"/>
        <v>2.3815271880369804E-2</v>
      </c>
      <c r="R42" s="103">
        <f t="shared" si="12"/>
        <v>2.7704985578903999E-2</v>
      </c>
      <c r="S42" s="103">
        <f t="shared" si="12"/>
        <v>2.9303115015974442E-2</v>
      </c>
      <c r="T42" s="103">
        <f t="shared" si="12"/>
        <v>2.4490040616897225E-2</v>
      </c>
      <c r="U42" s="103">
        <f t="shared" si="12"/>
        <v>2.2519001671068926E-2</v>
      </c>
      <c r="V42" s="103">
        <f t="shared" si="12"/>
        <v>2.7065031676671153E-2</v>
      </c>
      <c r="W42" s="103">
        <f t="shared" si="12"/>
        <v>4.3151780695559437E-2</v>
      </c>
      <c r="X42" s="103">
        <f t="shared" si="12"/>
        <v>4.5338903618007013E-2</v>
      </c>
      <c r="Y42" s="103">
        <f t="shared" si="12"/>
        <v>4.3034036463194543E-2</v>
      </c>
      <c r="Z42" s="103">
        <f t="shared" si="12"/>
        <v>4.510666666666667E-2</v>
      </c>
      <c r="AA42" s="108">
        <f t="shared" si="12"/>
        <v>4.1429052747170465E-2</v>
      </c>
    </row>
    <row r="43" spans="2:30" ht="9.9499999999999993" customHeight="1" x14ac:dyDescent="0.2">
      <c r="C43" s="107" t="s">
        <v>242</v>
      </c>
      <c r="D43" s="101"/>
      <c r="E43" s="103">
        <f>E22/E$13</f>
        <v>-5.9463932823948231E-3</v>
      </c>
      <c r="F43" s="103">
        <f t="shared" si="12"/>
        <v>2.7413587604290825E-4</v>
      </c>
      <c r="G43" s="103">
        <f t="shared" si="12"/>
        <v>2.821594521887992E-2</v>
      </c>
      <c r="H43" s="103">
        <f t="shared" si="12"/>
        <v>-2.1847692535371714E-2</v>
      </c>
      <c r="I43" s="103">
        <f t="shared" si="12"/>
        <v>-3.0502234229819382E-2</v>
      </c>
      <c r="J43" s="103">
        <f t="shared" si="12"/>
        <v>-1.0084248149093695E-2</v>
      </c>
      <c r="K43" s="103">
        <f t="shared" si="12"/>
        <v>4.4282288555750077E-3</v>
      </c>
      <c r="L43" s="103">
        <f t="shared" si="12"/>
        <v>-1.2087317337182032E-2</v>
      </c>
      <c r="M43" s="103">
        <f t="shared" si="12"/>
        <v>-5.9896437128062422E-3</v>
      </c>
      <c r="N43" s="103">
        <f t="shared" si="12"/>
        <v>-3.8446204780641695E-2</v>
      </c>
      <c r="O43" s="103">
        <f t="shared" si="12"/>
        <v>2.8624823373900363E-2</v>
      </c>
      <c r="P43" s="103">
        <f t="shared" si="12"/>
        <v>1.7083513630463003E-2</v>
      </c>
      <c r="Q43" s="103">
        <f t="shared" si="12"/>
        <v>-8.2934518653166121E-3</v>
      </c>
      <c r="R43" s="103">
        <f t="shared" si="12"/>
        <v>3.8335393489905237E-2</v>
      </c>
      <c r="S43" s="103">
        <f t="shared" si="12"/>
        <v>2.1731895633652826E-2</v>
      </c>
      <c r="T43" s="103">
        <f t="shared" si="12"/>
        <v>3.4651758816564494E-2</v>
      </c>
      <c r="U43" s="103">
        <f t="shared" si="12"/>
        <v>1.9405961942752407E-2</v>
      </c>
      <c r="V43" s="103">
        <f t="shared" si="12"/>
        <v>-1.3608116485477116E-3</v>
      </c>
      <c r="W43" s="103">
        <f t="shared" si="12"/>
        <v>-1.9831947306977214E-2</v>
      </c>
      <c r="X43" s="103">
        <f t="shared" si="12"/>
        <v>-3.1962186336734422E-2</v>
      </c>
      <c r="Y43" s="103">
        <f t="shared" si="12"/>
        <v>-3.1049716881339052E-2</v>
      </c>
      <c r="Z43" s="103">
        <f t="shared" si="12"/>
        <v>-2.8773333333333331E-2</v>
      </c>
      <c r="AA43" s="108">
        <f t="shared" si="12"/>
        <v>-3.0210764066536056E-2</v>
      </c>
    </row>
    <row r="44" spans="2:30" ht="9.9499999999999993" customHeight="1" x14ac:dyDescent="0.2">
      <c r="B44" s="97" t="s">
        <v>7</v>
      </c>
      <c r="C44" s="109" t="s">
        <v>243</v>
      </c>
      <c r="D44" s="110"/>
      <c r="E44" s="111">
        <f>E24/E23</f>
        <v>0.11017527885272023</v>
      </c>
      <c r="F44" s="111">
        <f t="shared" ref="F44:AA44" si="13">F24/F23</f>
        <v>8.7338737298778404E-2</v>
      </c>
      <c r="G44" s="111">
        <f t="shared" si="13"/>
        <v>0.13699030964388373</v>
      </c>
      <c r="H44" s="111">
        <f t="shared" si="13"/>
        <v>0.1961962534813628</v>
      </c>
      <c r="I44" s="111">
        <f t="shared" si="13"/>
        <v>0.20663934123555258</v>
      </c>
      <c r="J44" s="111">
        <f t="shared" si="13"/>
        <v>0.15222326078248097</v>
      </c>
      <c r="K44" s="111">
        <f t="shared" si="13"/>
        <v>0.23569122395068975</v>
      </c>
      <c r="L44" s="111">
        <f t="shared" si="13"/>
        <v>0.20460962637074007</v>
      </c>
      <c r="M44" s="111">
        <f t="shared" si="13"/>
        <v>-0.10140500916310326</v>
      </c>
      <c r="N44" s="111">
        <f t="shared" si="13"/>
        <v>0.19585534335635921</v>
      </c>
      <c r="O44" s="111">
        <f t="shared" si="13"/>
        <v>0.21509586821496085</v>
      </c>
      <c r="P44" s="111">
        <f t="shared" si="13"/>
        <v>-0.30370818218460299</v>
      </c>
      <c r="Q44" s="111">
        <f t="shared" si="13"/>
        <v>6.1888056966333274E-2</v>
      </c>
      <c r="R44" s="111">
        <f t="shared" si="13"/>
        <v>0.13315508021390374</v>
      </c>
      <c r="S44" s="111">
        <f t="shared" si="13"/>
        <v>0.13721205499408173</v>
      </c>
      <c r="T44" s="111">
        <f t="shared" si="13"/>
        <v>0.12175967753144763</v>
      </c>
      <c r="U44" s="111">
        <f t="shared" si="13"/>
        <v>0.14906774538522341</v>
      </c>
      <c r="V44" s="111">
        <f t="shared" si="13"/>
        <v>8.9234586753197176E-2</v>
      </c>
      <c r="W44" s="111">
        <f t="shared" si="13"/>
        <v>0.1166065889848269</v>
      </c>
      <c r="X44" s="111">
        <f t="shared" si="13"/>
        <v>0.12877867505181162</v>
      </c>
      <c r="Y44" s="111">
        <f t="shared" si="13"/>
        <v>0.3842841093496443</v>
      </c>
      <c r="Z44" s="111">
        <f t="shared" si="13"/>
        <v>0.15410573678290215</v>
      </c>
      <c r="AA44" s="112">
        <f t="shared" si="13"/>
        <v>0.10490778998286808</v>
      </c>
    </row>
    <row r="45" spans="2:30" ht="4.3499999999999996" customHeight="1" x14ac:dyDescent="0.2">
      <c r="D45" s="48"/>
      <c r="E45" s="48"/>
      <c r="F45" s="49"/>
      <c r="G45" s="49"/>
      <c r="H45" s="49"/>
      <c r="I45" s="4"/>
      <c r="J45" s="50"/>
      <c r="K45" s="48"/>
      <c r="L45" s="48"/>
      <c r="M45" s="48"/>
      <c r="N45" s="48"/>
      <c r="O45" s="48"/>
      <c r="P45" s="48"/>
      <c r="Q45" s="48"/>
      <c r="R45" s="48"/>
      <c r="S45" s="48"/>
      <c r="T45" s="48"/>
      <c r="U45" s="48"/>
      <c r="V45" s="48"/>
      <c r="W45" s="48"/>
      <c r="X45" s="48"/>
      <c r="Y45" s="48"/>
      <c r="Z45" s="48"/>
      <c r="AA45" s="48"/>
    </row>
    <row r="46" spans="2:30" outlineLevel="1" x14ac:dyDescent="0.2">
      <c r="C46" s="47"/>
      <c r="D46" s="48"/>
      <c r="E46" s="22" t="s">
        <v>244</v>
      </c>
      <c r="F46" s="22" t="s">
        <v>244</v>
      </c>
      <c r="G46" s="22" t="s">
        <v>244</v>
      </c>
      <c r="H46" s="22" t="s">
        <v>244</v>
      </c>
      <c r="I46" s="22"/>
      <c r="J46" s="22" t="s">
        <v>244</v>
      </c>
      <c r="K46" s="22" t="s">
        <v>244</v>
      </c>
      <c r="L46" s="22" t="s">
        <v>244</v>
      </c>
      <c r="N46" s="22" t="s">
        <v>244</v>
      </c>
      <c r="O46" s="22" t="s">
        <v>244</v>
      </c>
      <c r="P46" s="22" t="s">
        <v>244</v>
      </c>
      <c r="R46" s="22" t="s">
        <v>244</v>
      </c>
      <c r="S46" s="22" t="s">
        <v>244</v>
      </c>
      <c r="T46" s="22" t="s">
        <v>244</v>
      </c>
      <c r="V46" s="22" t="s">
        <v>244</v>
      </c>
      <c r="W46" s="22" t="s">
        <v>244</v>
      </c>
      <c r="X46" s="22" t="s">
        <v>244</v>
      </c>
      <c r="Z46" s="22" t="s">
        <v>244</v>
      </c>
      <c r="AA46" s="22" t="s">
        <v>244</v>
      </c>
    </row>
    <row r="47" spans="2:30" ht="9.9499999999999993" customHeight="1" x14ac:dyDescent="0.2">
      <c r="C47" s="47"/>
      <c r="D47" s="48"/>
      <c r="E47" s="48"/>
      <c r="F47" s="49"/>
      <c r="G47" s="49"/>
      <c r="H47" s="49"/>
      <c r="I47" s="4"/>
      <c r="J47" s="50"/>
      <c r="K47" s="48"/>
      <c r="L47" s="48"/>
      <c r="M47" s="48"/>
      <c r="N47" s="48"/>
      <c r="O47" s="48"/>
      <c r="P47" s="48"/>
      <c r="Q47" s="48"/>
      <c r="R47" s="48"/>
      <c r="S47" s="48"/>
      <c r="T47" s="48"/>
      <c r="U47" s="48"/>
      <c r="V47" s="48"/>
      <c r="W47" s="48"/>
      <c r="X47" s="48"/>
      <c r="Y47" s="48"/>
      <c r="Z47" s="48"/>
      <c r="AA47" s="48"/>
    </row>
    <row r="48" spans="2:30" x14ac:dyDescent="0.2">
      <c r="B48" s="97" t="s">
        <v>7</v>
      </c>
      <c r="C48" s="158" t="s">
        <v>245</v>
      </c>
      <c r="D48" s="94"/>
      <c r="E48" s="96"/>
      <c r="F48" s="96"/>
      <c r="G48" s="96"/>
      <c r="H48" s="96"/>
      <c r="I48" s="96"/>
      <c r="J48" s="95"/>
      <c r="K48" s="95"/>
      <c r="L48" s="95"/>
      <c r="M48" s="95"/>
      <c r="N48" s="95"/>
      <c r="O48" s="95"/>
      <c r="P48" s="95"/>
      <c r="Q48" s="95"/>
      <c r="R48" s="95"/>
      <c r="S48" s="95"/>
      <c r="T48" s="95"/>
      <c r="U48" s="95"/>
      <c r="V48" s="95"/>
      <c r="W48" s="95"/>
      <c r="X48" s="96"/>
      <c r="Y48" s="96"/>
      <c r="Z48" s="96"/>
      <c r="AA48" s="96"/>
    </row>
    <row r="49" spans="2:29" ht="4.3499999999999996" customHeight="1" x14ac:dyDescent="0.2">
      <c r="C49" s="66"/>
      <c r="D49" s="66"/>
      <c r="E49" s="67"/>
      <c r="F49" s="67"/>
      <c r="G49" s="67"/>
      <c r="H49" s="67"/>
      <c r="I49" s="67"/>
      <c r="X49" s="67"/>
      <c r="Y49" s="67"/>
      <c r="Z49" s="67"/>
      <c r="AA49" s="67"/>
    </row>
    <row r="50" spans="2:29" ht="12.6" hidden="1" customHeight="1" outlineLevel="1" x14ac:dyDescent="0.35">
      <c r="C50" s="38" t="s">
        <v>37</v>
      </c>
      <c r="D50" s="30"/>
      <c r="E50" s="36" t="s">
        <v>186</v>
      </c>
      <c r="F50" s="36"/>
      <c r="G50" s="36"/>
      <c r="H50" s="36"/>
      <c r="X50" s="36" t="s">
        <v>187</v>
      </c>
      <c r="Y50" s="36"/>
      <c r="Z50" s="36"/>
      <c r="AA50" s="36"/>
    </row>
    <row r="51" spans="2:29" ht="12.6" hidden="1" customHeight="1" outlineLevel="1" x14ac:dyDescent="0.35">
      <c r="C51" s="62"/>
      <c r="D51" s="30"/>
      <c r="E51" s="33" t="s">
        <v>188</v>
      </c>
      <c r="F51" s="33" t="s">
        <v>189</v>
      </c>
      <c r="G51" s="33" t="s">
        <v>190</v>
      </c>
      <c r="H51" s="33" t="s">
        <v>191</v>
      </c>
      <c r="I51" s="33"/>
      <c r="X51" s="33" t="s">
        <v>207</v>
      </c>
      <c r="Y51" s="33" t="s">
        <v>208</v>
      </c>
      <c r="Z51" s="33" t="s">
        <v>209</v>
      </c>
      <c r="AA51" s="33" t="s">
        <v>210</v>
      </c>
    </row>
    <row r="52" spans="2:29" ht="9.9499999999999993" customHeight="1" collapsed="1" x14ac:dyDescent="0.2">
      <c r="C52" s="55" t="s">
        <v>246</v>
      </c>
      <c r="D52" s="27"/>
      <c r="E52" s="71">
        <v>67.971000000000004</v>
      </c>
      <c r="F52" s="71">
        <v>97.244</v>
      </c>
      <c r="G52" s="71">
        <v>95.129000000000005</v>
      </c>
      <c r="H52" s="71">
        <v>71.138999999999996</v>
      </c>
      <c r="I52" s="71"/>
      <c r="X52" s="71">
        <v>86.555000000000007</v>
      </c>
      <c r="Y52" s="71">
        <v>71.138999999999996</v>
      </c>
      <c r="Z52" s="71">
        <v>57.895000000000003</v>
      </c>
      <c r="AA52" s="71">
        <v>54.679000000000002</v>
      </c>
    </row>
    <row r="53" spans="2:29" ht="9.9499999999999993" customHeight="1" x14ac:dyDescent="0.2">
      <c r="C53" s="55" t="s">
        <v>247</v>
      </c>
      <c r="D53" s="27"/>
      <c r="E53" s="72">
        <v>83.018000000000001</v>
      </c>
      <c r="F53" s="72">
        <v>62.055999999999997</v>
      </c>
      <c r="G53" s="72">
        <v>100.429</v>
      </c>
      <c r="H53" s="72">
        <v>306.714</v>
      </c>
      <c r="I53" s="72"/>
      <c r="X53" s="72">
        <v>284.30399999999997</v>
      </c>
      <c r="Y53" s="72">
        <v>306.714</v>
      </c>
      <c r="Z53" s="72">
        <v>311.86700000000002</v>
      </c>
      <c r="AA53" s="72">
        <v>302.66899999999998</v>
      </c>
    </row>
    <row r="54" spans="2:29" ht="9.9499999999999993" customHeight="1" x14ac:dyDescent="0.2">
      <c r="C54" s="55" t="s">
        <v>248</v>
      </c>
      <c r="D54" s="27"/>
      <c r="E54" s="72">
        <v>72.927999999999997</v>
      </c>
      <c r="F54" s="72">
        <v>74.307000000000002</v>
      </c>
      <c r="G54" s="72">
        <v>76.686999999999998</v>
      </c>
      <c r="H54" s="72">
        <v>62.069000000000003</v>
      </c>
      <c r="I54" s="72"/>
      <c r="X54" s="72">
        <v>61.578000000000003</v>
      </c>
      <c r="Y54" s="72">
        <v>62.069000000000003</v>
      </c>
      <c r="Z54" s="72">
        <v>69.003</v>
      </c>
      <c r="AA54" s="72">
        <v>72.242000000000004</v>
      </c>
    </row>
    <row r="55" spans="2:29" ht="9.9499999999999993" customHeight="1" x14ac:dyDescent="0.2">
      <c r="C55" s="55" t="s">
        <v>177</v>
      </c>
      <c r="D55" s="27"/>
      <c r="E55" s="72">
        <v>19.693000000000001</v>
      </c>
      <c r="F55" s="72">
        <v>23.521999999999998</v>
      </c>
      <c r="G55" s="72">
        <v>22.004999999999999</v>
      </c>
      <c r="H55" s="72">
        <v>18.032</v>
      </c>
      <c r="I55" s="72"/>
      <c r="X55" s="72">
        <v>18.963000000000001</v>
      </c>
      <c r="Y55" s="72">
        <v>18.032</v>
      </c>
      <c r="Z55" s="72">
        <v>20.172000000000001</v>
      </c>
      <c r="AA55" s="72">
        <v>31.728999999999999</v>
      </c>
      <c r="AC55" s="513"/>
    </row>
    <row r="56" spans="2:29" ht="9.9499999999999993" customHeight="1" x14ac:dyDescent="0.2">
      <c r="C56" s="55" t="s">
        <v>249</v>
      </c>
      <c r="D56" s="27"/>
      <c r="E56" s="72">
        <v>13.381</v>
      </c>
      <c r="F56" s="72">
        <v>14.695</v>
      </c>
      <c r="G56" s="72">
        <v>13.038</v>
      </c>
      <c r="H56" s="72">
        <v>18</v>
      </c>
      <c r="I56" s="72"/>
      <c r="X56" s="72">
        <v>17.279</v>
      </c>
      <c r="Y56" s="72">
        <v>18</v>
      </c>
      <c r="Z56" s="72">
        <v>20.611000000000001</v>
      </c>
      <c r="AA56" s="72">
        <v>21.882000000000001</v>
      </c>
    </row>
    <row r="57" spans="2:29" ht="9.9499999999999993" customHeight="1" x14ac:dyDescent="0.2">
      <c r="C57" s="279" t="s">
        <v>250</v>
      </c>
      <c r="D57" s="284"/>
      <c r="E57" s="73">
        <v>256.99099999999999</v>
      </c>
      <c r="F57" s="73">
        <v>271.82400000000001</v>
      </c>
      <c r="G57" s="73">
        <v>307.28800000000001</v>
      </c>
      <c r="H57" s="73">
        <v>475.95400000000001</v>
      </c>
      <c r="I57" s="73"/>
      <c r="X57" s="73">
        <v>468.67899999999997</v>
      </c>
      <c r="Y57" s="73">
        <v>475.95400000000001</v>
      </c>
      <c r="Z57" s="73">
        <v>479.548</v>
      </c>
      <c r="AA57" s="73">
        <v>483.20100000000002</v>
      </c>
    </row>
    <row r="58" spans="2:29" ht="9.9499999999999993" customHeight="1" x14ac:dyDescent="0.2">
      <c r="C58" s="55" t="s">
        <v>251</v>
      </c>
      <c r="D58" s="27"/>
      <c r="E58" s="72">
        <v>19.742999999999999</v>
      </c>
      <c r="F58" s="72">
        <v>29.876000000000001</v>
      </c>
      <c r="G58" s="72">
        <v>39.142000000000003</v>
      </c>
      <c r="H58" s="72">
        <v>50.220999999999997</v>
      </c>
      <c r="I58" s="72"/>
      <c r="X58" s="72">
        <v>47.029000000000003</v>
      </c>
      <c r="Y58" s="72">
        <v>50.220999999999997</v>
      </c>
      <c r="Z58" s="72">
        <v>51.972000000000001</v>
      </c>
      <c r="AA58" s="72">
        <v>49.337000000000003</v>
      </c>
    </row>
    <row r="59" spans="2:29" ht="9.9499999999999993" customHeight="1" x14ac:dyDescent="0.2">
      <c r="C59" s="55" t="s">
        <v>252</v>
      </c>
      <c r="D59" s="27"/>
      <c r="E59" s="72">
        <v>1.3069999999999999</v>
      </c>
      <c r="F59" s="72">
        <v>1.3069999999999999</v>
      </c>
      <c r="G59" s="72">
        <v>1.3069999999999999</v>
      </c>
      <c r="H59" s="72">
        <v>15.134</v>
      </c>
      <c r="I59" s="72"/>
      <c r="X59" s="72">
        <v>15.134</v>
      </c>
      <c r="Y59" s="72">
        <v>15.134</v>
      </c>
      <c r="Z59" s="72">
        <v>15.134</v>
      </c>
      <c r="AA59" s="72">
        <v>47.902000000000001</v>
      </c>
      <c r="AC59" s="447"/>
    </row>
    <row r="60" spans="2:29" ht="9.9499999999999993" customHeight="1" x14ac:dyDescent="0.2">
      <c r="C60" s="55" t="s">
        <v>253</v>
      </c>
      <c r="D60" s="27"/>
      <c r="E60" s="72">
        <v>0</v>
      </c>
      <c r="F60" s="72">
        <v>0</v>
      </c>
      <c r="G60" s="72">
        <v>0</v>
      </c>
      <c r="H60" s="72">
        <v>6.2590000000000003</v>
      </c>
      <c r="I60" s="72"/>
      <c r="X60" s="72">
        <v>6.6379999999999999</v>
      </c>
      <c r="Y60" s="72">
        <v>6.2590000000000003</v>
      </c>
      <c r="Z60" s="72">
        <v>5.8789999999999996</v>
      </c>
      <c r="AA60" s="72">
        <v>14.226000000000001</v>
      </c>
    </row>
    <row r="61" spans="2:29" ht="9.9499999999999993" customHeight="1" x14ac:dyDescent="0.2">
      <c r="C61" s="55" t="s">
        <v>254</v>
      </c>
      <c r="D61" s="27"/>
      <c r="E61" s="72">
        <v>63.183</v>
      </c>
      <c r="F61" s="72">
        <v>62.725000000000001</v>
      </c>
      <c r="G61" s="72">
        <v>62.363999999999997</v>
      </c>
      <c r="H61" s="72">
        <v>62.109000000000002</v>
      </c>
      <c r="I61" s="72"/>
      <c r="X61" s="72">
        <v>62.534999999999997</v>
      </c>
      <c r="Y61" s="72">
        <v>62.109000000000002</v>
      </c>
      <c r="Z61" s="72">
        <v>63.033999999999999</v>
      </c>
      <c r="AA61" s="72">
        <v>65.784999999999997</v>
      </c>
    </row>
    <row r="62" spans="2:29" ht="9.9499999999999993" customHeight="1" x14ac:dyDescent="0.2">
      <c r="C62" s="55" t="s">
        <v>255</v>
      </c>
      <c r="D62" s="27"/>
      <c r="E62" s="72">
        <v>27.881</v>
      </c>
      <c r="F62" s="72">
        <v>24.077000000000002</v>
      </c>
      <c r="G62" s="72">
        <v>22.713999999999999</v>
      </c>
      <c r="H62" s="72">
        <v>20.135999999999999</v>
      </c>
      <c r="I62" s="72"/>
      <c r="X62" s="72">
        <v>20.117999999999999</v>
      </c>
      <c r="Y62" s="72">
        <v>20.135999999999999</v>
      </c>
      <c r="Z62" s="72">
        <v>18.853000000000002</v>
      </c>
      <c r="AA62" s="72">
        <v>17.228000000000002</v>
      </c>
    </row>
    <row r="63" spans="2:29" ht="9.9499999999999993" customHeight="1" x14ac:dyDescent="0.2">
      <c r="B63" s="97"/>
      <c r="C63" s="282" t="s">
        <v>256</v>
      </c>
      <c r="D63" s="285"/>
      <c r="E63" s="74">
        <v>369.10500000000002</v>
      </c>
      <c r="F63" s="74">
        <v>389.80900000000003</v>
      </c>
      <c r="G63" s="74">
        <v>432.815</v>
      </c>
      <c r="H63" s="74">
        <v>629.81299999999999</v>
      </c>
      <c r="I63" s="74"/>
      <c r="X63" s="74">
        <v>620.13300000000004</v>
      </c>
      <c r="Y63" s="74">
        <v>629.81299999999999</v>
      </c>
      <c r="Z63" s="74">
        <v>634.41999999999996</v>
      </c>
      <c r="AA63" s="74">
        <v>677.67899999999997</v>
      </c>
    </row>
    <row r="64" spans="2:29" ht="4.3499999999999996" customHeight="1" x14ac:dyDescent="0.2">
      <c r="C64" s="64"/>
      <c r="D64" s="65"/>
      <c r="E64" s="75"/>
      <c r="F64" s="75"/>
      <c r="G64" s="75"/>
      <c r="H64" s="75"/>
      <c r="I64" s="75"/>
      <c r="X64" s="75"/>
      <c r="Y64" s="75"/>
      <c r="Z64" s="75"/>
      <c r="AA64" s="75"/>
    </row>
    <row r="65" spans="2:27" ht="9.9499999999999993" customHeight="1" x14ac:dyDescent="0.2">
      <c r="C65" s="55" t="s">
        <v>257</v>
      </c>
      <c r="D65" s="27"/>
      <c r="E65" s="72">
        <v>6.7249999999999996</v>
      </c>
      <c r="F65" s="72">
        <v>7.024</v>
      </c>
      <c r="G65" s="72">
        <v>12.542</v>
      </c>
      <c r="H65" s="72">
        <v>11.694000000000001</v>
      </c>
      <c r="I65" s="72"/>
      <c r="X65" s="72">
        <v>11.218999999999999</v>
      </c>
      <c r="Y65" s="72">
        <v>11.694000000000001</v>
      </c>
      <c r="Z65" s="72">
        <v>14.077999999999999</v>
      </c>
      <c r="AA65" s="72">
        <v>25.221</v>
      </c>
    </row>
    <row r="66" spans="2:27" ht="9.9499999999999993" customHeight="1" x14ac:dyDescent="0.2">
      <c r="C66" s="55" t="s">
        <v>258</v>
      </c>
      <c r="D66" s="27"/>
      <c r="E66" s="72">
        <v>37.183</v>
      </c>
      <c r="F66" s="72">
        <v>21.388000000000002</v>
      </c>
      <c r="G66" s="72">
        <v>32.695999999999998</v>
      </c>
      <c r="H66" s="72">
        <v>41.131999999999998</v>
      </c>
      <c r="I66" s="72"/>
      <c r="X66" s="72">
        <v>35.493000000000002</v>
      </c>
      <c r="Y66" s="72">
        <v>41.131999999999998</v>
      </c>
      <c r="Z66" s="72">
        <v>30.74</v>
      </c>
      <c r="AA66" s="72">
        <v>36.549999999999997</v>
      </c>
    </row>
    <row r="67" spans="2:27" ht="9.9499999999999993" customHeight="1" x14ac:dyDescent="0.2">
      <c r="C67" s="55" t="s">
        <v>259</v>
      </c>
      <c r="D67" s="27"/>
      <c r="E67" s="72">
        <v>74.34</v>
      </c>
      <c r="F67" s="72">
        <v>82.656999999999996</v>
      </c>
      <c r="G67" s="72">
        <v>78.334999999999994</v>
      </c>
      <c r="H67" s="72">
        <v>80.823999999999998</v>
      </c>
      <c r="I67" s="72"/>
      <c r="X67" s="72">
        <v>82.016999999999996</v>
      </c>
      <c r="Y67" s="72">
        <v>80.823999999999998</v>
      </c>
      <c r="Z67" s="72">
        <v>84.298000000000002</v>
      </c>
      <c r="AA67" s="72">
        <v>93.23</v>
      </c>
    </row>
    <row r="68" spans="2:27" ht="9.9499999999999993" customHeight="1" x14ac:dyDescent="0.2">
      <c r="C68" s="55" t="s">
        <v>260</v>
      </c>
      <c r="D68" s="27"/>
      <c r="E68" s="72">
        <v>0</v>
      </c>
      <c r="F68" s="72">
        <v>0</v>
      </c>
      <c r="G68" s="72">
        <v>0</v>
      </c>
      <c r="H68" s="72">
        <v>0</v>
      </c>
      <c r="I68" s="72"/>
      <c r="X68" s="72">
        <v>0</v>
      </c>
      <c r="Y68" s="72">
        <v>0</v>
      </c>
      <c r="Z68" s="72">
        <v>0</v>
      </c>
      <c r="AA68" s="72">
        <v>219.518</v>
      </c>
    </row>
    <row r="69" spans="2:27" ht="9.9499999999999993" customHeight="1" x14ac:dyDescent="0.2">
      <c r="C69" s="279" t="s">
        <v>261</v>
      </c>
      <c r="D69" s="284"/>
      <c r="E69" s="73">
        <v>118.248</v>
      </c>
      <c r="F69" s="73">
        <v>111.069</v>
      </c>
      <c r="G69" s="73">
        <v>123.57299999999999</v>
      </c>
      <c r="H69" s="73">
        <v>133.65</v>
      </c>
      <c r="I69" s="73"/>
      <c r="X69" s="73">
        <v>128.72900000000001</v>
      </c>
      <c r="Y69" s="73">
        <v>133.65</v>
      </c>
      <c r="Z69" s="73">
        <v>129.11600000000001</v>
      </c>
      <c r="AA69" s="73">
        <v>374.51900000000001</v>
      </c>
    </row>
    <row r="70" spans="2:27" ht="9.9499999999999993" customHeight="1" x14ac:dyDescent="0.2">
      <c r="C70" s="55" t="s">
        <v>262</v>
      </c>
      <c r="D70" s="27"/>
      <c r="E70" s="72">
        <v>52.652000000000001</v>
      </c>
      <c r="F70" s="72">
        <v>58.677</v>
      </c>
      <c r="G70" s="72">
        <v>69.924000000000007</v>
      </c>
      <c r="H70" s="72">
        <v>61.981999999999999</v>
      </c>
      <c r="I70" s="72"/>
      <c r="X70" s="72">
        <v>61.47</v>
      </c>
      <c r="Y70" s="72">
        <v>61.981999999999999</v>
      </c>
      <c r="Z70" s="72">
        <v>62.863999999999997</v>
      </c>
      <c r="AA70" s="72">
        <v>61.595999999999997</v>
      </c>
    </row>
    <row r="71" spans="2:27" ht="9.9499999999999993" customHeight="1" x14ac:dyDescent="0.2">
      <c r="C71" s="55" t="s">
        <v>263</v>
      </c>
      <c r="D71" s="27"/>
      <c r="E71" s="72">
        <v>0</v>
      </c>
      <c r="F71" s="72">
        <v>0</v>
      </c>
      <c r="G71" s="72">
        <v>0</v>
      </c>
      <c r="H71" s="72">
        <v>218.78700000000001</v>
      </c>
      <c r="I71" s="72"/>
      <c r="X71" s="72">
        <v>218.45</v>
      </c>
      <c r="Y71" s="72">
        <v>218.78700000000001</v>
      </c>
      <c r="Z71" s="72">
        <v>219.15299999999999</v>
      </c>
      <c r="AA71" s="72">
        <v>0</v>
      </c>
    </row>
    <row r="72" spans="2:27" ht="9.9499999999999993" customHeight="1" x14ac:dyDescent="0.2">
      <c r="C72" s="55" t="s">
        <v>264</v>
      </c>
      <c r="D72" s="27"/>
      <c r="E72" s="72">
        <v>17.193000000000001</v>
      </c>
      <c r="F72" s="72">
        <v>12.186999999999999</v>
      </c>
      <c r="G72" s="72">
        <v>7.4889999999999999</v>
      </c>
      <c r="H72" s="72">
        <v>3.8479999999999999</v>
      </c>
      <c r="I72" s="72"/>
      <c r="X72" s="72">
        <v>5.2709999999999999</v>
      </c>
      <c r="Y72" s="72">
        <v>3.8479999999999999</v>
      </c>
      <c r="Z72" s="72">
        <v>2.4500000000000002</v>
      </c>
      <c r="AA72" s="72">
        <v>3.5979999999999999</v>
      </c>
    </row>
    <row r="73" spans="2:27" ht="9.9499999999999993" customHeight="1" x14ac:dyDescent="0.2">
      <c r="B73" s="97"/>
      <c r="C73" s="279" t="s">
        <v>265</v>
      </c>
      <c r="D73" s="284"/>
      <c r="E73" s="73">
        <v>188.09299999999999</v>
      </c>
      <c r="F73" s="73">
        <v>181.93299999999999</v>
      </c>
      <c r="G73" s="73">
        <v>200.98599999999999</v>
      </c>
      <c r="H73" s="73">
        <v>418.267</v>
      </c>
      <c r="I73" s="73"/>
      <c r="X73" s="73">
        <v>413.92</v>
      </c>
      <c r="Y73" s="73">
        <v>418.267</v>
      </c>
      <c r="Z73" s="73">
        <v>413.58300000000003</v>
      </c>
      <c r="AA73" s="73">
        <v>439.71300000000002</v>
      </c>
    </row>
    <row r="74" spans="2:27" ht="4.3499999999999996" customHeight="1" x14ac:dyDescent="0.2">
      <c r="C74" s="62"/>
      <c r="D74" s="30"/>
      <c r="E74" s="76"/>
      <c r="F74" s="76"/>
      <c r="G74" s="76"/>
      <c r="H74" s="76"/>
      <c r="I74" s="76"/>
      <c r="X74" s="76"/>
      <c r="Y74" s="76"/>
      <c r="Z74" s="76"/>
      <c r="AA74" s="76"/>
    </row>
    <row r="75" spans="2:27" ht="9.9499999999999993" customHeight="1" x14ac:dyDescent="0.2">
      <c r="C75" s="55" t="s">
        <v>266</v>
      </c>
      <c r="D75" s="27"/>
      <c r="E75" s="72">
        <v>1E-3</v>
      </c>
      <c r="F75" s="72">
        <v>1E-3</v>
      </c>
      <c r="G75" s="72">
        <v>1E-3</v>
      </c>
      <c r="H75" s="72">
        <v>1E-3</v>
      </c>
      <c r="I75" s="72"/>
      <c r="X75" s="72">
        <v>1E-3</v>
      </c>
      <c r="Y75" s="72">
        <v>1E-3</v>
      </c>
      <c r="Z75" s="72">
        <v>1E-3</v>
      </c>
      <c r="AA75" s="72">
        <v>1E-3</v>
      </c>
    </row>
    <row r="76" spans="2:27" ht="9.9499999999999993" customHeight="1" x14ac:dyDescent="0.2">
      <c r="C76" s="55" t="s">
        <v>267</v>
      </c>
      <c r="D76" s="27"/>
      <c r="E76" s="72">
        <v>-134.934</v>
      </c>
      <c r="F76" s="72">
        <v>-150.90899999999999</v>
      </c>
      <c r="G76" s="72">
        <v>-180.99199999999999</v>
      </c>
      <c r="H76" s="72">
        <v>-249.91200000000001</v>
      </c>
      <c r="I76" s="72"/>
      <c r="X76" s="72">
        <v>-243</v>
      </c>
      <c r="Y76" s="72">
        <v>-249.91200000000001</v>
      </c>
      <c r="Z76" s="72">
        <v>-252.40799999999999</v>
      </c>
      <c r="AA76" s="72">
        <v>-254.78700000000001</v>
      </c>
    </row>
    <row r="77" spans="2:27" ht="9.9499999999999993" customHeight="1" x14ac:dyDescent="0.2">
      <c r="C77" s="55" t="s">
        <v>268</v>
      </c>
      <c r="D77" s="27"/>
      <c r="E77" s="72">
        <v>466.92700000000002</v>
      </c>
      <c r="F77" s="72">
        <v>486.95800000000003</v>
      </c>
      <c r="G77" s="72">
        <v>508.387</v>
      </c>
      <c r="H77" s="72">
        <v>531.79</v>
      </c>
      <c r="I77" s="72"/>
      <c r="X77" s="72">
        <v>525.303</v>
      </c>
      <c r="Y77" s="72">
        <v>531.79</v>
      </c>
      <c r="Z77" s="72">
        <v>536.61099999999999</v>
      </c>
      <c r="AA77" s="72">
        <v>551.86300000000006</v>
      </c>
    </row>
    <row r="78" spans="2:27" ht="9.9499999999999993" customHeight="1" x14ac:dyDescent="0.2">
      <c r="C78" s="55" t="s">
        <v>269</v>
      </c>
      <c r="D78" s="27"/>
      <c r="E78" s="72">
        <v>-19.802</v>
      </c>
      <c r="F78" s="72">
        <v>-37.619</v>
      </c>
      <c r="G78" s="72">
        <v>-55.417000000000002</v>
      </c>
      <c r="H78" s="72">
        <v>-72.784999999999997</v>
      </c>
      <c r="I78" s="72"/>
      <c r="X78" s="72">
        <v>-68.492000000000004</v>
      </c>
      <c r="Y78" s="72">
        <v>-72.784999999999997</v>
      </c>
      <c r="Z78" s="72">
        <v>-77.088999999999999</v>
      </c>
      <c r="AA78" s="72">
        <v>-81.415000000000006</v>
      </c>
    </row>
    <row r="79" spans="2:27" ht="9.9499999999999993" customHeight="1" x14ac:dyDescent="0.2">
      <c r="C79" s="55" t="s">
        <v>270</v>
      </c>
      <c r="D79" s="27"/>
      <c r="E79" s="72">
        <v>-0.72599999999999998</v>
      </c>
      <c r="F79" s="72">
        <v>-7.0999999999999994E-2</v>
      </c>
      <c r="G79" s="72">
        <v>0.19400000000000001</v>
      </c>
      <c r="H79" s="72">
        <v>0.65900000000000003</v>
      </c>
      <c r="I79" s="72"/>
      <c r="X79" s="72">
        <v>0.47299999999999998</v>
      </c>
      <c r="Y79" s="72">
        <v>0.65900000000000003</v>
      </c>
      <c r="Z79" s="72">
        <v>-0.10299999999999999</v>
      </c>
      <c r="AA79" s="72">
        <v>-0.40300000000000002</v>
      </c>
    </row>
    <row r="80" spans="2:27" ht="9.9499999999999993" customHeight="1" x14ac:dyDescent="0.2">
      <c r="C80" s="55" t="s">
        <v>271</v>
      </c>
      <c r="D80" s="27"/>
      <c r="E80" s="72">
        <v>0</v>
      </c>
      <c r="F80" s="72">
        <v>0</v>
      </c>
      <c r="G80" s="72">
        <v>-40.344000000000001</v>
      </c>
      <c r="H80" s="72">
        <v>1.7929999999999999</v>
      </c>
      <c r="I80" s="72"/>
      <c r="X80" s="72">
        <v>0</v>
      </c>
      <c r="Y80" s="72">
        <v>1.7929999999999999</v>
      </c>
      <c r="Z80" s="72">
        <v>13.824999999999999</v>
      </c>
      <c r="AA80" s="72">
        <v>22.707000000000001</v>
      </c>
    </row>
    <row r="81" spans="2:29" ht="9.9499999999999993" customHeight="1" x14ac:dyDescent="0.2">
      <c r="C81" s="55" t="s">
        <v>272</v>
      </c>
      <c r="D81" s="27"/>
      <c r="E81" s="77">
        <v>-130.45400000000001</v>
      </c>
      <c r="F81" s="77">
        <v>-90.483999999999995</v>
      </c>
      <c r="G81" s="77">
        <v>0</v>
      </c>
      <c r="H81" s="77">
        <v>0</v>
      </c>
      <c r="I81" s="77"/>
      <c r="X81" s="77">
        <v>-8.0719999999999992</v>
      </c>
      <c r="Y81" s="77">
        <v>0</v>
      </c>
      <c r="Z81" s="77">
        <v>0</v>
      </c>
      <c r="AA81" s="77">
        <v>0</v>
      </c>
    </row>
    <row r="82" spans="2:29" ht="9.9499999999999993" customHeight="1" x14ac:dyDescent="0.2">
      <c r="C82" s="279" t="s">
        <v>273</v>
      </c>
      <c r="D82" s="284"/>
      <c r="E82" s="73">
        <v>181.012</v>
      </c>
      <c r="F82" s="73">
        <v>207.876</v>
      </c>
      <c r="G82" s="73">
        <v>231.82900000000001</v>
      </c>
      <c r="H82" s="73">
        <v>211.54599999999999</v>
      </c>
      <c r="I82" s="73"/>
      <c r="X82" s="73">
        <v>206.21299999999999</v>
      </c>
      <c r="Y82" s="73">
        <v>211.54599999999999</v>
      </c>
      <c r="Z82" s="73">
        <v>220.83699999999999</v>
      </c>
      <c r="AA82" s="73">
        <v>237.96600000000001</v>
      </c>
    </row>
    <row r="83" spans="2:29" ht="4.3499999999999996" customHeight="1" x14ac:dyDescent="0.2">
      <c r="E83" s="69"/>
      <c r="F83" s="69"/>
      <c r="G83" s="69"/>
      <c r="H83" s="69"/>
      <c r="I83" s="69"/>
      <c r="X83" s="69"/>
      <c r="Y83" s="69"/>
      <c r="Z83" s="69"/>
      <c r="AA83" s="69"/>
    </row>
    <row r="84" spans="2:29" ht="9.9499999999999993" customHeight="1" x14ac:dyDescent="0.2">
      <c r="B84" s="97" t="s">
        <v>7</v>
      </c>
      <c r="C84" s="282" t="s">
        <v>274</v>
      </c>
      <c r="D84" s="285"/>
      <c r="E84" s="74">
        <v>369.10500000000002</v>
      </c>
      <c r="F84" s="74">
        <v>389.80900000000003</v>
      </c>
      <c r="G84" s="74">
        <v>432.815</v>
      </c>
      <c r="H84" s="74">
        <v>629.81299999999999</v>
      </c>
      <c r="I84" s="74"/>
      <c r="X84" s="74">
        <v>620.13300000000004</v>
      </c>
      <c r="Y84" s="74">
        <v>629.81299999999999</v>
      </c>
      <c r="Z84" s="74">
        <v>634.41999999999996</v>
      </c>
      <c r="AA84" s="74">
        <v>677.67899999999997</v>
      </c>
    </row>
    <row r="85" spans="2:29" ht="9.9499999999999993" hidden="1" customHeight="1" outlineLevel="1" x14ac:dyDescent="0.2">
      <c r="X85" s="63"/>
      <c r="Z85" s="63"/>
      <c r="AA85" s="63"/>
    </row>
    <row r="86" spans="2:29" ht="9.9499999999999993" hidden="1" customHeight="1" outlineLevel="1" x14ac:dyDescent="0.2">
      <c r="C86" s="68" t="s">
        <v>275</v>
      </c>
      <c r="D86" s="68"/>
      <c r="E86" s="70">
        <f>E63-E84</f>
        <v>0</v>
      </c>
      <c r="F86" s="70">
        <f>F63-F84</f>
        <v>0</v>
      </c>
      <c r="G86" s="70">
        <f>G63-G84</f>
        <v>0</v>
      </c>
      <c r="H86" s="70">
        <f>H63-H84</f>
        <v>0</v>
      </c>
      <c r="X86" s="63">
        <f>X63-X84</f>
        <v>0</v>
      </c>
      <c r="Y86" s="70">
        <f>Y63-Y84</f>
        <v>0</v>
      </c>
      <c r="Z86" s="63">
        <f>Z63-Z84</f>
        <v>0</v>
      </c>
      <c r="AA86" s="63">
        <f>AA63-AA84</f>
        <v>0</v>
      </c>
    </row>
    <row r="87" spans="2:29" ht="9.9499999999999993" customHeight="1" collapsed="1" x14ac:dyDescent="0.2"/>
    <row r="88" spans="2:29" ht="9.9499999999999993" customHeight="1" x14ac:dyDescent="0.2">
      <c r="C88" s="104" t="s">
        <v>232</v>
      </c>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6"/>
    </row>
    <row r="89" spans="2:29" ht="9.9499999999999993" customHeight="1" x14ac:dyDescent="0.2">
      <c r="C89" s="107" t="s">
        <v>175</v>
      </c>
      <c r="D89" s="101"/>
      <c r="E89" s="102">
        <f>E54/E$13*365</f>
        <v>94.952236229123415</v>
      </c>
      <c r="F89" s="102">
        <f t="shared" ref="F89:H89" si="14">F54/F$13*365</f>
        <v>107.75548271752086</v>
      </c>
      <c r="G89" s="102">
        <f t="shared" si="14"/>
        <v>106.95904790291024</v>
      </c>
      <c r="H89" s="102">
        <f t="shared" si="14"/>
        <v>77.971568401380793</v>
      </c>
      <c r="I89" s="103"/>
      <c r="J89" s="103"/>
      <c r="K89" s="103"/>
      <c r="L89" s="103"/>
      <c r="M89" s="103"/>
      <c r="N89" s="103"/>
      <c r="O89" s="103"/>
      <c r="P89" s="103"/>
      <c r="Q89" s="103"/>
      <c r="R89" s="103"/>
      <c r="S89" s="103"/>
      <c r="T89" s="103"/>
      <c r="U89" s="103"/>
      <c r="V89" s="103"/>
      <c r="W89" s="103"/>
      <c r="X89" s="102">
        <f>X54/SUM(U$13:X$13)*365</f>
        <v>79.027763127360174</v>
      </c>
      <c r="Y89" s="102">
        <f t="shared" ref="Y89:AA89" si="15">Y54/SUM(V$13:Y$13)*365</f>
        <v>77.971568401380793</v>
      </c>
      <c r="Z89" s="102">
        <f t="shared" si="15"/>
        <v>84.116274797942694</v>
      </c>
      <c r="AA89" s="113">
        <f t="shared" si="15"/>
        <v>85.011412948860965</v>
      </c>
    </row>
    <row r="90" spans="2:29" ht="9.9499999999999993" customHeight="1" x14ac:dyDescent="0.2">
      <c r="C90" s="107" t="s">
        <v>276</v>
      </c>
      <c r="D90" s="101"/>
      <c r="E90" s="102">
        <f>E55/SUM(E$14:E$15)*365</f>
        <v>126.47707277590092</v>
      </c>
      <c r="F90" s="102">
        <f t="shared" ref="F90:H90" si="16">F55/SUM(F$14:F$15)*365</f>
        <v>179.00692214669945</v>
      </c>
      <c r="G90" s="102">
        <f t="shared" si="16"/>
        <v>156.20344619693111</v>
      </c>
      <c r="H90" s="102">
        <f t="shared" si="16"/>
        <v>109.61793411278771</v>
      </c>
      <c r="I90" s="103"/>
      <c r="J90" s="103"/>
      <c r="K90" s="103"/>
      <c r="L90" s="103"/>
      <c r="M90" s="103"/>
      <c r="N90" s="103"/>
      <c r="O90" s="103"/>
      <c r="P90" s="103"/>
      <c r="Q90" s="103"/>
      <c r="R90" s="103"/>
      <c r="S90" s="103"/>
      <c r="T90" s="103"/>
      <c r="U90" s="103"/>
      <c r="V90" s="103"/>
      <c r="W90" s="103"/>
      <c r="X90" s="102">
        <f>X55/SUM(U$14:X$15)*365</f>
        <v>119.6620967463089</v>
      </c>
      <c r="Y90" s="102">
        <f t="shared" ref="Y90:AA90" si="17">Y55/SUM(V$14:Y$15)*365</f>
        <v>109.61793411278771</v>
      </c>
      <c r="Z90" s="102">
        <f t="shared" si="17"/>
        <v>118.99250113129486</v>
      </c>
      <c r="AA90" s="113">
        <f t="shared" si="17"/>
        <v>181.06762038774232</v>
      </c>
    </row>
    <row r="91" spans="2:29" ht="9.9499999999999993" customHeight="1" x14ac:dyDescent="0.2">
      <c r="C91" s="107" t="s">
        <v>182</v>
      </c>
      <c r="D91" s="101"/>
      <c r="E91" s="102">
        <f>E65/SUM(E$14:E$15)*365</f>
        <v>43.190895974099099</v>
      </c>
      <c r="F91" s="102">
        <f t="shared" ref="F91:H91" si="18">F65/SUM(F$14:F$15)*365</f>
        <v>53.453984404320082</v>
      </c>
      <c r="G91" s="102">
        <f t="shared" si="18"/>
        <v>89.029930570411722</v>
      </c>
      <c r="H91" s="102">
        <f t="shared" si="18"/>
        <v>71.088737883481571</v>
      </c>
      <c r="I91" s="103"/>
      <c r="J91" s="103"/>
      <c r="K91" s="103"/>
      <c r="L91" s="103"/>
      <c r="M91" s="103"/>
      <c r="N91" s="103"/>
      <c r="O91" s="103"/>
      <c r="P91" s="103"/>
      <c r="Q91" s="103"/>
      <c r="R91" s="103"/>
      <c r="S91" s="103"/>
      <c r="T91" s="103"/>
      <c r="U91" s="103"/>
      <c r="V91" s="103"/>
      <c r="W91" s="103"/>
      <c r="X91" s="102">
        <f>X65/SUM(U$14:X$15)*365</f>
        <v>70.795183430725075</v>
      </c>
      <c r="Y91" s="102">
        <f t="shared" ref="Y91:AA91" si="19">Y65/SUM(V$14:Y$15)*365</f>
        <v>71.088737883481571</v>
      </c>
      <c r="Z91" s="102">
        <f t="shared" si="19"/>
        <v>83.044637662421607</v>
      </c>
      <c r="AA91" s="113">
        <f t="shared" si="19"/>
        <v>143.92847091932458</v>
      </c>
    </row>
    <row r="92" spans="2:29" ht="9.9499999999999993" customHeight="1" x14ac:dyDescent="0.2">
      <c r="C92" s="114" t="s">
        <v>277</v>
      </c>
      <c r="D92" s="101"/>
      <c r="E92" s="102">
        <f>SUM(E89:E90)-E91</f>
        <v>178.23841303092522</v>
      </c>
      <c r="F92" s="102">
        <f t="shared" ref="F92:H92" si="20">SUM(F89:F90)-F91</f>
        <v>233.30842045990028</v>
      </c>
      <c r="G92" s="102">
        <f t="shared" si="20"/>
        <v>174.13256352942963</v>
      </c>
      <c r="H92" s="102">
        <f t="shared" si="20"/>
        <v>116.50076463068692</v>
      </c>
      <c r="I92" s="103"/>
      <c r="J92" s="103"/>
      <c r="K92" s="103"/>
      <c r="L92" s="103"/>
      <c r="M92" s="103"/>
      <c r="N92" s="103"/>
      <c r="O92" s="103"/>
      <c r="P92" s="103"/>
      <c r="Q92" s="103"/>
      <c r="R92" s="103"/>
      <c r="S92" s="103"/>
      <c r="T92" s="103"/>
      <c r="U92" s="103"/>
      <c r="V92" s="103"/>
      <c r="W92" s="103"/>
      <c r="X92" s="102">
        <f t="shared" ref="X92" si="21">SUM(X89:X90)-X91</f>
        <v>127.89467644294402</v>
      </c>
      <c r="Y92" s="102">
        <f t="shared" ref="Y92" si="22">SUM(Y89:Y90)-Y91</f>
        <v>116.50076463068692</v>
      </c>
      <c r="Z92" s="102">
        <f t="shared" ref="Z92" si="23">SUM(Z89:Z90)-Z91</f>
        <v>120.06413826681593</v>
      </c>
      <c r="AA92" s="113">
        <f t="shared" ref="AA92" si="24">SUM(AA89:AA90)-AA91</f>
        <v>122.15056241727871</v>
      </c>
    </row>
    <row r="93" spans="2:29" ht="9.9499999999999993" customHeight="1" x14ac:dyDescent="0.2">
      <c r="C93" s="107" t="s">
        <v>278</v>
      </c>
      <c r="D93" s="101"/>
      <c r="E93" s="103">
        <f>E56/E$13</f>
        <v>4.7731666773680341E-2</v>
      </c>
      <c r="F93" s="103">
        <f t="shared" ref="F93:H93" si="25">F56/F$13</f>
        <v>5.8382995629717924E-2</v>
      </c>
      <c r="G93" s="103">
        <f t="shared" si="25"/>
        <v>4.9821166544387376E-2</v>
      </c>
      <c r="H93" s="103">
        <f t="shared" si="25"/>
        <v>6.1949978833757226E-2</v>
      </c>
      <c r="I93" s="103"/>
      <c r="J93" s="103"/>
      <c r="K93" s="103"/>
      <c r="L93" s="103"/>
      <c r="M93" s="103"/>
      <c r="N93" s="103"/>
      <c r="O93" s="103"/>
      <c r="P93" s="103"/>
      <c r="Q93" s="103"/>
      <c r="R93" s="103"/>
      <c r="S93" s="103"/>
      <c r="T93" s="103"/>
      <c r="U93" s="103"/>
      <c r="V93" s="103"/>
      <c r="W93" s="103"/>
      <c r="X93" s="103">
        <f>X56/SUM(U$13:X$13)</f>
        <v>6.07546957518477E-2</v>
      </c>
      <c r="Y93" s="103">
        <f t="shared" ref="Y93:AA93" si="26">Y56/SUM(V$13:Y$13)</f>
        <v>6.1949978833757226E-2</v>
      </c>
      <c r="Z93" s="103">
        <f t="shared" si="26"/>
        <v>6.8836417073007819E-2</v>
      </c>
      <c r="AA93" s="108">
        <f t="shared" si="26"/>
        <v>7.0547499145640832E-2</v>
      </c>
    </row>
    <row r="94" spans="2:29" ht="9.9499999999999993" customHeight="1" x14ac:dyDescent="0.2">
      <c r="C94" s="107" t="s">
        <v>279</v>
      </c>
      <c r="D94" s="101"/>
      <c r="E94" s="103">
        <f>E66/E$13</f>
        <v>0.13263631758805441</v>
      </c>
      <c r="F94" s="103">
        <f t="shared" ref="F94:H94" si="27">F66/F$13</f>
        <v>8.4974175605880026E-2</v>
      </c>
      <c r="G94" s="103">
        <f t="shared" si="27"/>
        <v>0.1249388603570555</v>
      </c>
      <c r="H94" s="103">
        <f t="shared" si="27"/>
        <v>0.14156258496611679</v>
      </c>
      <c r="I94" s="103"/>
      <c r="J94" s="103"/>
      <c r="K94" s="103"/>
      <c r="L94" s="103"/>
      <c r="M94" s="103"/>
      <c r="N94" s="103"/>
      <c r="O94" s="103"/>
      <c r="P94" s="103"/>
      <c r="Q94" s="103"/>
      <c r="R94" s="103"/>
      <c r="S94" s="103"/>
      <c r="T94" s="103"/>
      <c r="U94" s="103"/>
      <c r="V94" s="103"/>
      <c r="W94" s="103"/>
      <c r="X94" s="103">
        <f>X66/SUM(U$13:X$13)</f>
        <v>0.12479694521212631</v>
      </c>
      <c r="Y94" s="103">
        <f t="shared" ref="Y94:AA94" si="28">Y66/SUM(V$13:Y$13)</f>
        <v>0.14156258496611679</v>
      </c>
      <c r="Z94" s="103">
        <f t="shared" si="28"/>
        <v>0.10266515262841493</v>
      </c>
      <c r="AA94" s="108">
        <f t="shared" si="28"/>
        <v>0.11783708499100502</v>
      </c>
    </row>
    <row r="95" spans="2:29" ht="9.9499999999999993" customHeight="1" x14ac:dyDescent="0.2">
      <c r="C95" s="107" t="s">
        <v>280</v>
      </c>
      <c r="D95" s="101"/>
      <c r="E95" s="103">
        <f>SUM(E67,E70)/E$13</f>
        <v>0.4529960262254849</v>
      </c>
      <c r="F95" s="103">
        <f t="shared" ref="F95:H95" si="29">SUM(F67,F70)/F$13</f>
        <v>0.56151767977751299</v>
      </c>
      <c r="G95" s="103">
        <f t="shared" si="29"/>
        <v>0.56653139520665197</v>
      </c>
      <c r="H95" s="103">
        <f t="shared" si="29"/>
        <v>0.49149048207408519</v>
      </c>
      <c r="I95" s="103"/>
      <c r="J95" s="103"/>
      <c r="K95" s="103"/>
      <c r="L95" s="103"/>
      <c r="M95" s="103"/>
      <c r="N95" s="103"/>
      <c r="O95" s="103"/>
      <c r="P95" s="103"/>
      <c r="Q95" s="103"/>
      <c r="R95" s="103"/>
      <c r="S95" s="103"/>
      <c r="T95" s="103"/>
      <c r="U95" s="103"/>
      <c r="V95" s="103"/>
      <c r="W95" s="103"/>
      <c r="X95" s="103">
        <f>SUM(X67,X70)/SUM(U$13:X$13)</f>
        <v>0.50451467268623007</v>
      </c>
      <c r="Y95" s="103">
        <f t="shared" ref="Y95:AA95" si="30">SUM(Y67,Y70)/SUM(V$13:Y$13)</f>
        <v>0.49149048207408519</v>
      </c>
      <c r="Z95" s="103">
        <f t="shared" si="30"/>
        <v>0.49149021441453478</v>
      </c>
      <c r="AA95" s="108">
        <f t="shared" si="30"/>
        <v>0.49915853682126798</v>
      </c>
      <c r="AC95" s="100"/>
    </row>
    <row r="96" spans="2:29" ht="9.9499999999999993" customHeight="1" x14ac:dyDescent="0.2">
      <c r="B96" s="97" t="s">
        <v>7</v>
      </c>
      <c r="C96" s="109" t="s">
        <v>281</v>
      </c>
      <c r="D96" s="110"/>
      <c r="E96" s="111">
        <f>E67/SUM(E70,E67)</f>
        <v>0.58539120574524384</v>
      </c>
      <c r="F96" s="111">
        <f t="shared" ref="F96:H96" si="31">F67/SUM(F70,F67)</f>
        <v>0.58483450549761551</v>
      </c>
      <c r="G96" s="111">
        <f t="shared" si="31"/>
        <v>0.52836590021516394</v>
      </c>
      <c r="H96" s="111">
        <f t="shared" si="31"/>
        <v>0.56597061748105826</v>
      </c>
      <c r="I96" s="111"/>
      <c r="J96" s="111"/>
      <c r="K96" s="111"/>
      <c r="L96" s="111"/>
      <c r="M96" s="111"/>
      <c r="N96" s="111"/>
      <c r="O96" s="111"/>
      <c r="P96" s="111"/>
      <c r="Q96" s="111"/>
      <c r="R96" s="111"/>
      <c r="S96" s="111"/>
      <c r="T96" s="111"/>
      <c r="U96" s="111"/>
      <c r="V96" s="111"/>
      <c r="W96" s="111"/>
      <c r="X96" s="111">
        <f t="shared" ref="X96:AA96" si="32">X67/SUM(X70,X67)</f>
        <v>0.57159882079909674</v>
      </c>
      <c r="Y96" s="111">
        <f t="shared" si="32"/>
        <v>0.56597061748105826</v>
      </c>
      <c r="Z96" s="111">
        <f t="shared" si="32"/>
        <v>0.57282450632636139</v>
      </c>
      <c r="AA96" s="112">
        <f t="shared" si="32"/>
        <v>0.60215984395385791</v>
      </c>
    </row>
    <row r="97" spans="2:27" ht="9.9499999999999993" customHeight="1" outlineLevel="1" x14ac:dyDescent="0.2">
      <c r="E97" s="22"/>
      <c r="F97" s="22"/>
      <c r="G97" s="22"/>
      <c r="H97" s="22"/>
      <c r="X97" s="22"/>
      <c r="Y97" s="22"/>
      <c r="Z97" s="22"/>
      <c r="AA97" s="22"/>
    </row>
    <row r="98" spans="2:27" ht="9.9499999999999993" customHeight="1" outlineLevel="1" x14ac:dyDescent="0.2">
      <c r="E98" s="22" t="s">
        <v>244</v>
      </c>
      <c r="F98" s="22" t="s">
        <v>244</v>
      </c>
      <c r="G98" s="22" t="s">
        <v>244</v>
      </c>
      <c r="H98" s="22" t="s">
        <v>244</v>
      </c>
      <c r="X98" s="22" t="s">
        <v>244</v>
      </c>
      <c r="Y98" s="22"/>
      <c r="Z98" s="22" t="s">
        <v>244</v>
      </c>
      <c r="AA98" s="22" t="s">
        <v>244</v>
      </c>
    </row>
    <row r="99" spans="2:27" ht="4.3499999999999996" customHeight="1" x14ac:dyDescent="0.2">
      <c r="E99" s="22"/>
      <c r="F99" s="22"/>
      <c r="G99" s="22"/>
      <c r="H99" s="22"/>
      <c r="X99" s="22"/>
      <c r="Y99" s="22"/>
      <c r="Z99" s="22"/>
      <c r="AA99" s="22"/>
    </row>
    <row r="100" spans="2:27" ht="9.9499999999999993" customHeight="1" x14ac:dyDescent="0.2"/>
    <row r="101" spans="2:27" x14ac:dyDescent="0.2">
      <c r="B101" s="97" t="s">
        <v>7</v>
      </c>
      <c r="C101" s="158" t="s">
        <v>282</v>
      </c>
      <c r="D101" s="94"/>
      <c r="E101" s="96"/>
      <c r="F101" s="96"/>
      <c r="G101" s="96"/>
      <c r="H101" s="96"/>
      <c r="I101" s="96"/>
      <c r="J101" s="95"/>
      <c r="K101" s="95"/>
      <c r="L101" s="95"/>
      <c r="M101" s="95"/>
      <c r="N101" s="95"/>
      <c r="O101" s="95"/>
      <c r="P101" s="95"/>
      <c r="Q101" s="95"/>
      <c r="R101" s="95"/>
      <c r="S101" s="95"/>
      <c r="T101" s="95"/>
      <c r="U101" s="95"/>
      <c r="V101" s="95"/>
      <c r="W101" s="95"/>
      <c r="X101" s="96"/>
      <c r="Y101" s="96"/>
      <c r="Z101" s="96"/>
      <c r="AA101" s="96"/>
    </row>
    <row r="102" spans="2:27" ht="4.3499999999999996" customHeight="1" x14ac:dyDescent="0.2">
      <c r="C102" s="30"/>
      <c r="D102" s="30"/>
      <c r="E102" s="28"/>
      <c r="F102" s="28"/>
      <c r="G102" s="28"/>
      <c r="H102" s="28"/>
      <c r="Z102" s="28"/>
      <c r="AA102" s="5"/>
    </row>
    <row r="103" spans="2:27" ht="12.6" hidden="1" customHeight="1" outlineLevel="1" x14ac:dyDescent="0.35">
      <c r="C103" s="38" t="s">
        <v>37</v>
      </c>
      <c r="D103" s="30"/>
      <c r="E103" s="36" t="s">
        <v>186</v>
      </c>
      <c r="F103" s="36"/>
      <c r="G103" s="36"/>
      <c r="H103" s="36"/>
      <c r="X103" s="36" t="s">
        <v>187</v>
      </c>
      <c r="Y103" s="36"/>
      <c r="Z103" s="36"/>
      <c r="AA103" s="36"/>
    </row>
    <row r="104" spans="2:27" ht="12.6" hidden="1" customHeight="1" outlineLevel="1" x14ac:dyDescent="0.35">
      <c r="C104" s="30"/>
      <c r="D104" s="30"/>
      <c r="E104" s="33" t="s">
        <v>188</v>
      </c>
      <c r="F104" s="33" t="s">
        <v>189</v>
      </c>
      <c r="G104" s="33" t="s">
        <v>190</v>
      </c>
      <c r="H104" s="33" t="s">
        <v>191</v>
      </c>
      <c r="X104" s="33" t="s">
        <v>207</v>
      </c>
      <c r="Y104" s="33" t="s">
        <v>208</v>
      </c>
      <c r="Z104" s="33" t="s">
        <v>209</v>
      </c>
      <c r="AA104" s="33" t="s">
        <v>210</v>
      </c>
    </row>
    <row r="105" spans="2:27" ht="13.5" collapsed="1" x14ac:dyDescent="0.35">
      <c r="B105" s="97"/>
      <c r="C105" s="62" t="s">
        <v>283</v>
      </c>
      <c r="D105" s="30"/>
      <c r="E105" s="33"/>
      <c r="F105" s="33"/>
      <c r="G105" s="33"/>
      <c r="H105" s="33"/>
      <c r="X105" s="33"/>
      <c r="Y105" s="33"/>
      <c r="Z105" s="33"/>
      <c r="AA105" s="33"/>
    </row>
    <row r="106" spans="2:27" ht="9.9499999999999993" customHeight="1" x14ac:dyDescent="0.2">
      <c r="C106" s="78" t="s">
        <v>284</v>
      </c>
      <c r="D106" s="27"/>
      <c r="E106" s="81">
        <v>46.908000000000001</v>
      </c>
      <c r="F106" s="81">
        <v>39.97</v>
      </c>
      <c r="G106" s="81">
        <v>50.14</v>
      </c>
      <c r="H106" s="81">
        <v>42.137</v>
      </c>
      <c r="I106" s="81"/>
      <c r="X106" s="81">
        <v>12.190999999999999</v>
      </c>
      <c r="Y106" s="81">
        <v>9.865000000000002</v>
      </c>
      <c r="Z106" s="81">
        <v>12.032</v>
      </c>
      <c r="AA106" s="81">
        <v>8.8820000000000014</v>
      </c>
    </row>
    <row r="107" spans="2:27" ht="9.9499999999999993" customHeight="1" x14ac:dyDescent="0.2">
      <c r="C107" s="78" t="s">
        <v>285</v>
      </c>
      <c r="D107" s="27"/>
      <c r="E107" s="77">
        <v>7.3810000000000002</v>
      </c>
      <c r="F107" s="77">
        <v>9.3460000000000001</v>
      </c>
      <c r="G107" s="77">
        <v>11.292999999999999</v>
      </c>
      <c r="H107" s="77">
        <v>14.859</v>
      </c>
      <c r="I107" s="77"/>
      <c r="J107" s="217"/>
      <c r="K107" s="217"/>
      <c r="L107" s="217"/>
      <c r="M107" s="217"/>
      <c r="N107" s="217"/>
      <c r="O107" s="217"/>
      <c r="P107" s="217"/>
      <c r="Q107" s="217"/>
      <c r="R107" s="217"/>
      <c r="S107" s="217"/>
      <c r="T107" s="217"/>
      <c r="U107" s="217"/>
      <c r="V107" s="217"/>
      <c r="W107" s="217"/>
      <c r="X107" s="77">
        <v>3.7989999999999995</v>
      </c>
      <c r="Y107" s="77">
        <v>3.9830000000000005</v>
      </c>
      <c r="Z107" s="77">
        <v>3.9689999999999999</v>
      </c>
      <c r="AA107" s="77">
        <v>4.4489999999999998</v>
      </c>
    </row>
    <row r="108" spans="2:27" ht="9.9499999999999993" customHeight="1" x14ac:dyDescent="0.2">
      <c r="C108" s="78" t="s">
        <v>286</v>
      </c>
      <c r="D108" s="27"/>
      <c r="E108" s="77">
        <v>13.331</v>
      </c>
      <c r="F108" s="77">
        <v>14.081</v>
      </c>
      <c r="G108" s="77">
        <v>17.047999999999998</v>
      </c>
      <c r="H108" s="77">
        <v>20.03</v>
      </c>
      <c r="I108" s="77"/>
      <c r="J108" s="217"/>
      <c r="K108" s="217"/>
      <c r="L108" s="217"/>
      <c r="M108" s="217"/>
      <c r="N108" s="217"/>
      <c r="O108" s="217"/>
      <c r="P108" s="217"/>
      <c r="Q108" s="217"/>
      <c r="R108" s="217"/>
      <c r="S108" s="217"/>
      <c r="T108" s="217"/>
      <c r="U108" s="217"/>
      <c r="V108" s="217"/>
      <c r="W108" s="217"/>
      <c r="X108" s="77">
        <v>4.7789999999999999</v>
      </c>
      <c r="Y108" s="77">
        <v>4.8240000000000016</v>
      </c>
      <c r="Z108" s="77">
        <v>4.8209999999999997</v>
      </c>
      <c r="AA108" s="77">
        <v>8.9660000000000011</v>
      </c>
    </row>
    <row r="109" spans="2:27" ht="9.9499999999999993" customHeight="1" x14ac:dyDescent="0.2">
      <c r="C109" s="78" t="s">
        <v>287</v>
      </c>
      <c r="D109" s="27"/>
      <c r="E109" s="77">
        <v>-3.5999999999999997E-2</v>
      </c>
      <c r="F109" s="77">
        <v>-0.69899999999999995</v>
      </c>
      <c r="G109" s="77">
        <v>5.8999999999999997E-2</v>
      </c>
      <c r="H109" s="77">
        <v>-0.39900000000000002</v>
      </c>
      <c r="I109" s="77"/>
      <c r="J109" s="217"/>
      <c r="K109" s="217"/>
      <c r="L109" s="217"/>
      <c r="M109" s="217"/>
      <c r="N109" s="217"/>
      <c r="O109" s="217"/>
      <c r="P109" s="217"/>
      <c r="Q109" s="217"/>
      <c r="R109" s="217"/>
      <c r="S109" s="217"/>
      <c r="T109" s="217"/>
      <c r="U109" s="217"/>
      <c r="V109" s="217"/>
      <c r="W109" s="217"/>
      <c r="X109" s="77">
        <v>0</v>
      </c>
      <c r="Y109" s="77">
        <v>-0.39900000000000002</v>
      </c>
      <c r="Z109" s="77">
        <v>0</v>
      </c>
      <c r="AA109" s="77">
        <v>0</v>
      </c>
    </row>
    <row r="110" spans="2:27" ht="9.9499999999999993" customHeight="1" x14ac:dyDescent="0.2">
      <c r="C110" s="78" t="s">
        <v>288</v>
      </c>
      <c r="D110" s="27"/>
      <c r="E110" s="77">
        <v>0.79300000000000004</v>
      </c>
      <c r="F110" s="77">
        <v>0.11700000000000001</v>
      </c>
      <c r="G110" s="77">
        <v>-0.42399999999999999</v>
      </c>
      <c r="H110" s="77">
        <v>3.282</v>
      </c>
      <c r="I110" s="77"/>
      <c r="J110" s="217"/>
      <c r="K110" s="217"/>
      <c r="L110" s="217"/>
      <c r="M110" s="217"/>
      <c r="N110" s="217"/>
      <c r="O110" s="217"/>
      <c r="P110" s="217"/>
      <c r="Q110" s="217"/>
      <c r="R110" s="217"/>
      <c r="S110" s="217"/>
      <c r="T110" s="217"/>
      <c r="U110" s="217"/>
      <c r="V110" s="217"/>
      <c r="W110" s="217"/>
      <c r="X110" s="77">
        <v>1.5659999999999998</v>
      </c>
      <c r="Y110" s="77">
        <v>1.0310000000000001</v>
      </c>
      <c r="Z110" s="77">
        <v>0.71599999999999997</v>
      </c>
      <c r="AA110" s="77">
        <v>1.3920000000000001</v>
      </c>
    </row>
    <row r="111" spans="2:27" ht="9.9499999999999993" customHeight="1" x14ac:dyDescent="0.2">
      <c r="C111" s="62" t="s">
        <v>289</v>
      </c>
      <c r="D111" s="30"/>
      <c r="E111" s="77"/>
      <c r="F111" s="77"/>
      <c r="G111" s="77"/>
      <c r="H111" s="77"/>
      <c r="I111" s="77"/>
      <c r="J111" s="217"/>
      <c r="K111" s="217"/>
      <c r="L111" s="217"/>
      <c r="M111" s="217"/>
      <c r="N111" s="217"/>
      <c r="O111" s="217"/>
      <c r="P111" s="217"/>
      <c r="Q111" s="217"/>
      <c r="R111" s="217"/>
      <c r="S111" s="217"/>
      <c r="T111" s="217"/>
      <c r="U111" s="217"/>
      <c r="V111" s="217"/>
      <c r="W111" s="217"/>
      <c r="X111" s="77"/>
      <c r="Y111" s="77"/>
      <c r="Z111" s="77">
        <v>0</v>
      </c>
      <c r="AA111" s="77"/>
    </row>
    <row r="112" spans="2:27" ht="9.9499999999999993" customHeight="1" x14ac:dyDescent="0.2">
      <c r="C112" s="78" t="s">
        <v>290</v>
      </c>
      <c r="D112" s="27"/>
      <c r="E112" s="77">
        <v>-10.065</v>
      </c>
      <c r="F112" s="77">
        <v>-0.67900000000000005</v>
      </c>
      <c r="G112" s="77">
        <v>-2.5550000000000002</v>
      </c>
      <c r="H112" s="77">
        <v>14.569000000000001</v>
      </c>
      <c r="I112" s="77"/>
      <c r="J112" s="217"/>
      <c r="K112" s="217"/>
      <c r="L112" s="217"/>
      <c r="M112" s="217"/>
      <c r="N112" s="217"/>
      <c r="O112" s="217"/>
      <c r="P112" s="217"/>
      <c r="Q112" s="217"/>
      <c r="R112" s="217"/>
      <c r="S112" s="217"/>
      <c r="T112" s="217"/>
      <c r="U112" s="217"/>
      <c r="V112" s="217"/>
      <c r="W112" s="217"/>
      <c r="X112" s="77">
        <v>-9.227999999999998</v>
      </c>
      <c r="Y112" s="77">
        <v>-0.23399999999999999</v>
      </c>
      <c r="Z112" s="77">
        <v>-6.9740000000000002</v>
      </c>
      <c r="AA112" s="77">
        <v>-3.1560000000000006</v>
      </c>
    </row>
    <row r="113" spans="2:27" ht="9.9499999999999993" customHeight="1" x14ac:dyDescent="0.2">
      <c r="C113" s="78" t="s">
        <v>177</v>
      </c>
      <c r="D113" s="27"/>
      <c r="E113" s="77">
        <v>2.0350000000000001</v>
      </c>
      <c r="F113" s="77">
        <v>-6.3019999999999996</v>
      </c>
      <c r="G113" s="77">
        <v>-0.76</v>
      </c>
      <c r="H113" s="77">
        <v>3.6589999999999998</v>
      </c>
      <c r="I113" s="77"/>
      <c r="J113" s="217"/>
      <c r="K113" s="217"/>
      <c r="L113" s="217"/>
      <c r="M113" s="217"/>
      <c r="N113" s="217"/>
      <c r="O113" s="217"/>
      <c r="P113" s="217"/>
      <c r="Q113" s="217"/>
      <c r="R113" s="217"/>
      <c r="S113" s="217"/>
      <c r="T113" s="217"/>
      <c r="U113" s="217"/>
      <c r="V113" s="217"/>
      <c r="W113" s="217"/>
      <c r="X113" s="77">
        <v>1.1190000000000002</v>
      </c>
      <c r="Y113" s="77">
        <v>0.93099999999999961</v>
      </c>
      <c r="Z113" s="77">
        <v>-2.1469999999999998</v>
      </c>
      <c r="AA113" s="77">
        <v>-11.632</v>
      </c>
    </row>
    <row r="114" spans="2:27" ht="9.9499999999999993" customHeight="1" x14ac:dyDescent="0.2">
      <c r="C114" s="78" t="s">
        <v>291</v>
      </c>
      <c r="D114" s="27"/>
      <c r="E114" s="77">
        <v>1.627</v>
      </c>
      <c r="F114" s="77">
        <v>-1.8620000000000001</v>
      </c>
      <c r="G114" s="77">
        <v>-6.7000000000000004E-2</v>
      </c>
      <c r="H114" s="77">
        <v>-8.3260000000000005</v>
      </c>
      <c r="I114" s="77"/>
      <c r="J114" s="217"/>
      <c r="K114" s="217"/>
      <c r="L114" s="217"/>
      <c r="M114" s="217"/>
      <c r="N114" s="217"/>
      <c r="O114" s="217"/>
      <c r="P114" s="217"/>
      <c r="Q114" s="217"/>
      <c r="R114" s="217"/>
      <c r="S114" s="217"/>
      <c r="T114" s="217"/>
      <c r="U114" s="217"/>
      <c r="V114" s="217"/>
      <c r="W114" s="217"/>
      <c r="X114" s="77">
        <v>-1.0469999999999997</v>
      </c>
      <c r="Y114" s="77">
        <v>-1.4140000000000006</v>
      </c>
      <c r="Z114" s="77">
        <v>-3.6539999999999999</v>
      </c>
      <c r="AA114" s="77">
        <v>-2.4430000000000005</v>
      </c>
    </row>
    <row r="115" spans="2:27" ht="9.9499999999999993" customHeight="1" x14ac:dyDescent="0.2">
      <c r="C115" s="78" t="s">
        <v>257</v>
      </c>
      <c r="D115" s="27"/>
      <c r="E115" s="77">
        <v>0.10299999999999999</v>
      </c>
      <c r="F115" s="77">
        <v>-2.9990000000000001</v>
      </c>
      <c r="G115" s="77">
        <v>2.2240000000000002</v>
      </c>
      <c r="H115" s="77">
        <v>-1.516</v>
      </c>
      <c r="I115" s="77"/>
      <c r="J115" s="217"/>
      <c r="K115" s="217"/>
      <c r="L115" s="217"/>
      <c r="M115" s="217"/>
      <c r="N115" s="217"/>
      <c r="O115" s="217"/>
      <c r="P115" s="217"/>
      <c r="Q115" s="217"/>
      <c r="R115" s="217"/>
      <c r="S115" s="217"/>
      <c r="T115" s="217"/>
      <c r="U115" s="217"/>
      <c r="V115" s="217"/>
      <c r="W115" s="217"/>
      <c r="X115" s="77">
        <v>4.2789999999999999</v>
      </c>
      <c r="Y115" s="77">
        <v>0.58400000000000007</v>
      </c>
      <c r="Z115" s="77">
        <v>0.90200000000000002</v>
      </c>
      <c r="AA115" s="77">
        <v>11.369000000000002</v>
      </c>
    </row>
    <row r="116" spans="2:27" ht="9.9499999999999993" customHeight="1" x14ac:dyDescent="0.2">
      <c r="C116" s="78" t="s">
        <v>258</v>
      </c>
      <c r="D116" s="27"/>
      <c r="E116" s="77">
        <v>-1.3380000000000001</v>
      </c>
      <c r="F116" s="77">
        <v>-20.800999999999998</v>
      </c>
      <c r="G116" s="77">
        <v>6.609</v>
      </c>
      <c r="H116" s="77">
        <v>4.5679999999999996</v>
      </c>
      <c r="I116" s="77"/>
      <c r="J116" s="217"/>
      <c r="K116" s="217"/>
      <c r="L116" s="217"/>
      <c r="M116" s="217"/>
      <c r="N116" s="217"/>
      <c r="O116" s="217"/>
      <c r="P116" s="217"/>
      <c r="Q116" s="217"/>
      <c r="R116" s="217"/>
      <c r="S116" s="217"/>
      <c r="T116" s="217"/>
      <c r="U116" s="217"/>
      <c r="V116" s="217"/>
      <c r="W116" s="217"/>
      <c r="X116" s="77">
        <v>6.2880000000000003</v>
      </c>
      <c r="Y116" s="77">
        <v>4.2169999999999996</v>
      </c>
      <c r="Z116" s="77">
        <v>-11.79</v>
      </c>
      <c r="AA116" s="77">
        <v>3.7999999999999989</v>
      </c>
    </row>
    <row r="117" spans="2:27" ht="9.9499999999999993" customHeight="1" x14ac:dyDescent="0.2">
      <c r="C117" s="78" t="s">
        <v>292</v>
      </c>
      <c r="D117" s="27"/>
      <c r="E117" s="77">
        <v>5.3609999999999998</v>
      </c>
      <c r="F117" s="77">
        <v>14.342000000000001</v>
      </c>
      <c r="G117" s="77">
        <v>6.9249999999999998</v>
      </c>
      <c r="H117" s="77">
        <v>-7.9690000000000003</v>
      </c>
      <c r="I117" s="77"/>
      <c r="J117" s="217"/>
      <c r="K117" s="217"/>
      <c r="L117" s="217"/>
      <c r="M117" s="217"/>
      <c r="N117" s="217"/>
      <c r="O117" s="217"/>
      <c r="P117" s="217"/>
      <c r="Q117" s="217"/>
      <c r="R117" s="217"/>
      <c r="S117" s="217"/>
      <c r="T117" s="217"/>
      <c r="U117" s="217"/>
      <c r="V117" s="217"/>
      <c r="W117" s="217"/>
      <c r="X117" s="77">
        <v>-0.9430000000000005</v>
      </c>
      <c r="Y117" s="77">
        <v>-0.68100000000000005</v>
      </c>
      <c r="Z117" s="77">
        <v>4.3559999999999999</v>
      </c>
      <c r="AA117" s="77">
        <v>7.4879999999999995</v>
      </c>
    </row>
    <row r="118" spans="2:27" ht="9.9499999999999993" customHeight="1" x14ac:dyDescent="0.2">
      <c r="C118" s="279" t="s">
        <v>293</v>
      </c>
      <c r="D118" s="284"/>
      <c r="E118" s="286">
        <v>66.099999999999994</v>
      </c>
      <c r="F118" s="286">
        <v>44.514000000000003</v>
      </c>
      <c r="G118" s="286">
        <v>90.492000000000004</v>
      </c>
      <c r="H118" s="286">
        <v>84.894000000000005</v>
      </c>
      <c r="I118" s="286"/>
      <c r="X118" s="286">
        <v>22.802999999999997</v>
      </c>
      <c r="Y118" s="286">
        <v>22.707000000000008</v>
      </c>
      <c r="Z118" s="286">
        <v>2.2309999999999999</v>
      </c>
      <c r="AA118" s="286">
        <v>29.115000000000002</v>
      </c>
    </row>
    <row r="119" spans="2:27" ht="4.3499999999999996" customHeight="1" x14ac:dyDescent="0.2">
      <c r="C119" s="64"/>
      <c r="D119" s="65"/>
      <c r="E119" s="98"/>
      <c r="F119" s="98"/>
      <c r="G119" s="98"/>
      <c r="H119" s="98"/>
      <c r="I119" s="98"/>
      <c r="X119" s="98"/>
      <c r="Y119" s="98"/>
      <c r="Z119" s="98"/>
      <c r="AA119" s="98"/>
    </row>
    <row r="120" spans="2:27" ht="9.9499999999999993" customHeight="1" x14ac:dyDescent="0.2">
      <c r="B120" s="97"/>
      <c r="C120" s="62" t="s">
        <v>294</v>
      </c>
      <c r="D120" s="30"/>
      <c r="E120" s="79"/>
      <c r="F120" s="79"/>
      <c r="G120" s="79"/>
      <c r="H120" s="79"/>
      <c r="I120" s="79"/>
      <c r="X120" s="79"/>
      <c r="Y120" s="79"/>
      <c r="Z120" s="79"/>
      <c r="AA120" s="79"/>
    </row>
    <row r="121" spans="2:27" ht="9.9499999999999993" customHeight="1" x14ac:dyDescent="0.2">
      <c r="C121" s="78" t="s">
        <v>295</v>
      </c>
      <c r="D121" s="27"/>
      <c r="E121" s="79">
        <v>6.2519999999999998</v>
      </c>
      <c r="F121" s="79">
        <v>45.42</v>
      </c>
      <c r="G121" s="79">
        <v>25.530999999999999</v>
      </c>
      <c r="H121" s="79">
        <v>0.85299999999999998</v>
      </c>
      <c r="I121" s="79"/>
      <c r="X121" s="79">
        <v>0</v>
      </c>
      <c r="Y121" s="79">
        <v>0.85299999999999998</v>
      </c>
      <c r="Z121" s="79">
        <v>0</v>
      </c>
      <c r="AA121" s="79">
        <v>0</v>
      </c>
    </row>
    <row r="122" spans="2:27" ht="9.9499999999999993" customHeight="1" x14ac:dyDescent="0.2">
      <c r="C122" s="78" t="s">
        <v>296</v>
      </c>
      <c r="D122" s="27"/>
      <c r="E122" s="79">
        <v>71.045000000000002</v>
      </c>
      <c r="F122" s="79">
        <v>64.504000000000005</v>
      </c>
      <c r="G122" s="79">
        <v>81.146000000000001</v>
      </c>
      <c r="H122" s="79">
        <v>136.76499999999999</v>
      </c>
      <c r="I122" s="79"/>
      <c r="X122" s="79">
        <v>41.682000000000002</v>
      </c>
      <c r="Y122" s="79">
        <v>40.338999999999984</v>
      </c>
      <c r="Z122" s="79">
        <v>58.524999999999999</v>
      </c>
      <c r="AA122" s="79">
        <v>56.895000000000003</v>
      </c>
    </row>
    <row r="123" spans="2:27" ht="9.9499999999999993" customHeight="1" x14ac:dyDescent="0.2">
      <c r="C123" s="78" t="s">
        <v>297</v>
      </c>
      <c r="D123" s="27"/>
      <c r="E123" s="79">
        <v>-55.411000000000001</v>
      </c>
      <c r="F123" s="79">
        <v>-85.42</v>
      </c>
      <c r="G123" s="79">
        <v>-142.75899999999999</v>
      </c>
      <c r="H123" s="79">
        <v>-342.02800000000002</v>
      </c>
      <c r="I123" s="79"/>
      <c r="X123" s="79">
        <v>-210.77200000000002</v>
      </c>
      <c r="Y123" s="79">
        <v>-63.108000000000004</v>
      </c>
      <c r="Z123" s="79">
        <v>-64.281999999999996</v>
      </c>
      <c r="AA123" s="79">
        <v>-47.942000000000007</v>
      </c>
    </row>
    <row r="124" spans="2:27" ht="9.9499999999999993" customHeight="1" x14ac:dyDescent="0.2">
      <c r="C124" s="78" t="s">
        <v>298</v>
      </c>
      <c r="D124" s="27"/>
      <c r="E124" s="79">
        <v>0</v>
      </c>
      <c r="F124" s="79">
        <v>0</v>
      </c>
      <c r="G124" s="79">
        <v>0</v>
      </c>
      <c r="H124" s="79">
        <v>-19.100000000000001</v>
      </c>
      <c r="I124" s="79"/>
      <c r="X124" s="79">
        <v>0</v>
      </c>
      <c r="Y124" s="79">
        <v>0</v>
      </c>
      <c r="Z124" s="79">
        <v>0</v>
      </c>
      <c r="AA124" s="79">
        <v>-34.680999999999997</v>
      </c>
    </row>
    <row r="125" spans="2:27" ht="9.9499999999999993" customHeight="1" x14ac:dyDescent="0.2">
      <c r="C125" s="78" t="s">
        <v>299</v>
      </c>
      <c r="D125" s="27"/>
      <c r="E125" s="79">
        <v>-10.798999999999999</v>
      </c>
      <c r="F125" s="79">
        <v>-10.896000000000001</v>
      </c>
      <c r="G125" s="79">
        <v>-12.268000000000001</v>
      </c>
      <c r="H125" s="79">
        <v>-20.128</v>
      </c>
      <c r="I125" s="79"/>
      <c r="X125" s="79">
        <v>-4.7270000000000003</v>
      </c>
      <c r="Y125" s="79">
        <v>-6.6639999999999997</v>
      </c>
      <c r="Z125" s="79">
        <v>-2.92</v>
      </c>
      <c r="AA125" s="79">
        <v>-1.6100000000000003</v>
      </c>
    </row>
    <row r="126" spans="2:27" ht="9.9499999999999993" customHeight="1" x14ac:dyDescent="0.2">
      <c r="C126" s="279" t="s">
        <v>300</v>
      </c>
      <c r="D126" s="284"/>
      <c r="E126" s="286">
        <v>11.087</v>
      </c>
      <c r="F126" s="286">
        <v>13.608000000000001</v>
      </c>
      <c r="G126" s="286">
        <v>-48.35</v>
      </c>
      <c r="H126" s="286">
        <v>-243.63800000000001</v>
      </c>
      <c r="I126" s="286"/>
      <c r="X126" s="286">
        <v>-173.81700000000001</v>
      </c>
      <c r="Y126" s="286">
        <v>-28.580000000000013</v>
      </c>
      <c r="Z126" s="286">
        <v>-8.6769999999999996</v>
      </c>
      <c r="AA126" s="286">
        <v>-27.338000000000001</v>
      </c>
    </row>
    <row r="127" spans="2:27" ht="4.3499999999999996" customHeight="1" x14ac:dyDescent="0.2">
      <c r="C127" s="64"/>
      <c r="D127" s="65"/>
      <c r="E127" s="98"/>
      <c r="F127" s="98"/>
      <c r="G127" s="98"/>
      <c r="H127" s="98"/>
      <c r="I127" s="98"/>
      <c r="X127" s="98"/>
      <c r="Y127" s="98"/>
      <c r="Z127" s="98"/>
      <c r="AA127" s="98"/>
    </row>
    <row r="128" spans="2:27" ht="9.9499999999999993" customHeight="1" x14ac:dyDescent="0.2">
      <c r="B128" s="97"/>
      <c r="C128" s="62" t="s">
        <v>301</v>
      </c>
      <c r="D128" s="30"/>
      <c r="E128" s="79"/>
      <c r="F128" s="79"/>
      <c r="G128" s="79"/>
      <c r="H128" s="79"/>
      <c r="I128" s="79"/>
      <c r="X128" s="79"/>
      <c r="Y128" s="79"/>
      <c r="Z128" s="79"/>
      <c r="AA128" s="79"/>
    </row>
    <row r="129" spans="2:27" ht="9.9499999999999993" customHeight="1" x14ac:dyDescent="0.2">
      <c r="C129" s="78" t="s">
        <v>302</v>
      </c>
      <c r="D129" s="27"/>
      <c r="E129" s="79">
        <v>7.0380000000000003</v>
      </c>
      <c r="F129" s="79">
        <v>4.9429999999999996</v>
      </c>
      <c r="G129" s="79">
        <v>3.6240000000000001</v>
      </c>
      <c r="H129" s="79">
        <v>3.3730000000000002</v>
      </c>
      <c r="I129" s="79"/>
      <c r="X129" s="79">
        <v>0</v>
      </c>
      <c r="Y129" s="79">
        <v>1.6630000000000003</v>
      </c>
      <c r="Z129" s="79">
        <v>0</v>
      </c>
      <c r="AA129" s="79">
        <v>1.714</v>
      </c>
    </row>
    <row r="130" spans="2:27" ht="9.9499999999999993" customHeight="1" x14ac:dyDescent="0.2">
      <c r="C130" s="78" t="s">
        <v>303</v>
      </c>
      <c r="D130" s="27"/>
      <c r="E130" s="79">
        <v>0</v>
      </c>
      <c r="F130" s="79">
        <v>0</v>
      </c>
      <c r="G130" s="79">
        <v>0</v>
      </c>
      <c r="H130" s="79">
        <v>225</v>
      </c>
      <c r="I130" s="79"/>
      <c r="X130" s="79">
        <v>0</v>
      </c>
      <c r="Y130" s="79">
        <v>0</v>
      </c>
      <c r="Z130" s="79">
        <v>0</v>
      </c>
      <c r="AA130" s="79">
        <v>0</v>
      </c>
    </row>
    <row r="131" spans="2:27" ht="9.9499999999999993" customHeight="1" x14ac:dyDescent="0.2">
      <c r="C131" s="78" t="s">
        <v>304</v>
      </c>
      <c r="D131" s="27"/>
      <c r="E131" s="79">
        <v>0</v>
      </c>
      <c r="F131" s="79">
        <v>0</v>
      </c>
      <c r="G131" s="79">
        <v>0</v>
      </c>
      <c r="H131" s="79">
        <v>-7.33</v>
      </c>
      <c r="I131" s="79"/>
      <c r="X131" s="79">
        <v>0</v>
      </c>
      <c r="Y131" s="79">
        <v>0</v>
      </c>
      <c r="Z131" s="79">
        <v>0</v>
      </c>
      <c r="AA131" s="79">
        <v>0</v>
      </c>
    </row>
    <row r="132" spans="2:27" ht="9.9499999999999993" customHeight="1" x14ac:dyDescent="0.2">
      <c r="C132" s="78" t="s">
        <v>305</v>
      </c>
      <c r="D132" s="27"/>
      <c r="E132" s="79">
        <v>-79.257000000000005</v>
      </c>
      <c r="F132" s="79">
        <v>-15.975</v>
      </c>
      <c r="G132" s="79">
        <v>-30.084</v>
      </c>
      <c r="H132" s="79">
        <v>-68.92</v>
      </c>
      <c r="I132" s="79"/>
      <c r="X132" s="79">
        <v>-11.035000000000004</v>
      </c>
      <c r="Y132" s="79">
        <v>-6.911999999999999</v>
      </c>
      <c r="Z132" s="79">
        <v>-2.4950000000000001</v>
      </c>
      <c r="AA132" s="79">
        <v>-2.38</v>
      </c>
    </row>
    <row r="133" spans="2:27" ht="9.9499999999999993" customHeight="1" x14ac:dyDescent="0.2">
      <c r="C133" s="78" t="s">
        <v>306</v>
      </c>
      <c r="D133" s="27"/>
      <c r="E133" s="79">
        <v>-15.922000000000001</v>
      </c>
      <c r="F133" s="79">
        <v>-17.817</v>
      </c>
      <c r="G133" s="79">
        <v>-17.797000000000001</v>
      </c>
      <c r="H133" s="79">
        <v>-17.369</v>
      </c>
      <c r="I133" s="79"/>
      <c r="X133" s="79">
        <v>-4.3199999999999985</v>
      </c>
      <c r="Y133" s="79">
        <v>-4.2940000000000005</v>
      </c>
      <c r="Z133" s="79">
        <v>-4.3029999999999999</v>
      </c>
      <c r="AA133" s="79">
        <v>-4.3270000000000008</v>
      </c>
    </row>
    <row r="134" spans="2:27" ht="9.9499999999999993" customHeight="1" x14ac:dyDescent="0.2">
      <c r="C134" s="279" t="s">
        <v>307</v>
      </c>
      <c r="D134" s="284"/>
      <c r="E134" s="286">
        <v>-88.141000000000005</v>
      </c>
      <c r="F134" s="286">
        <v>-28.849</v>
      </c>
      <c r="G134" s="286">
        <v>-44.256999999999998</v>
      </c>
      <c r="H134" s="286">
        <v>134.75399999999999</v>
      </c>
      <c r="I134" s="286"/>
      <c r="X134" s="286">
        <v>-15.35499999999999</v>
      </c>
      <c r="Y134" s="286">
        <v>-9.5430000000000064</v>
      </c>
      <c r="Z134" s="286">
        <v>-6.798</v>
      </c>
      <c r="AA134" s="286">
        <v>-4.9930000000000003</v>
      </c>
    </row>
    <row r="135" spans="2:27" ht="4.3499999999999996" customHeight="1" x14ac:dyDescent="0.2">
      <c r="C135" s="64"/>
      <c r="D135" s="65"/>
      <c r="E135" s="80"/>
      <c r="F135" s="80"/>
      <c r="G135" s="80"/>
      <c r="H135" s="80"/>
      <c r="I135" s="80"/>
      <c r="X135" s="80"/>
      <c r="Y135" s="80"/>
      <c r="Z135" s="80"/>
      <c r="AA135" s="80"/>
    </row>
    <row r="136" spans="2:27" ht="9.9499999999999993" customHeight="1" x14ac:dyDescent="0.2">
      <c r="C136" s="279" t="s">
        <v>308</v>
      </c>
      <c r="D136" s="284"/>
      <c r="E136" s="286">
        <v>-10.954000000000001</v>
      </c>
      <c r="F136" s="286">
        <v>29.273</v>
      </c>
      <c r="G136" s="286">
        <v>-2.1150000000000002</v>
      </c>
      <c r="H136" s="286">
        <v>-23.99</v>
      </c>
      <c r="I136" s="286"/>
      <c r="X136" s="286">
        <v>-166.369</v>
      </c>
      <c r="Y136" s="286">
        <v>-15.415999999999999</v>
      </c>
      <c r="Z136" s="286">
        <v>-13.244</v>
      </c>
      <c r="AA136" s="286">
        <v>-3.2160000000000011</v>
      </c>
    </row>
    <row r="137" spans="2:27" ht="9.9499999999999993" customHeight="1" x14ac:dyDescent="0.2">
      <c r="C137" s="55" t="s">
        <v>309</v>
      </c>
      <c r="D137" s="27"/>
      <c r="E137" s="79">
        <v>78.924999999999997</v>
      </c>
      <c r="F137" s="79">
        <v>67.971000000000004</v>
      </c>
      <c r="G137" s="79">
        <v>97.244</v>
      </c>
      <c r="H137" s="79">
        <v>95.129000000000005</v>
      </c>
      <c r="I137" s="79"/>
      <c r="X137" s="79">
        <f>X138-X136</f>
        <v>252.92400000000001</v>
      </c>
      <c r="Y137" s="79">
        <f>Y138-Y136</f>
        <v>86.554999999999993</v>
      </c>
      <c r="Z137" s="79">
        <v>71.138999999999996</v>
      </c>
      <c r="AA137" s="79">
        <f>AA138-AA136</f>
        <v>57.895000000000003</v>
      </c>
    </row>
    <row r="138" spans="2:27" ht="9.9499999999999993" customHeight="1" x14ac:dyDescent="0.2">
      <c r="B138" s="97" t="s">
        <v>7</v>
      </c>
      <c r="C138" s="282" t="s">
        <v>310</v>
      </c>
      <c r="D138" s="285"/>
      <c r="E138" s="287">
        <v>67.971000000000004</v>
      </c>
      <c r="F138" s="287">
        <v>97.244</v>
      </c>
      <c r="G138" s="287">
        <v>95.129000000000005</v>
      </c>
      <c r="H138" s="287">
        <v>71.138999999999996</v>
      </c>
      <c r="I138" s="287"/>
      <c r="X138" s="287">
        <v>86.555000000000007</v>
      </c>
      <c r="Y138" s="287">
        <v>71.138999999999996</v>
      </c>
      <c r="Z138" s="287">
        <v>57.895000000000003</v>
      </c>
      <c r="AA138" s="287">
        <v>54.679000000000002</v>
      </c>
    </row>
    <row r="139" spans="2:27" ht="4.3499999999999996" customHeight="1" x14ac:dyDescent="0.2">
      <c r="C139" s="55"/>
      <c r="D139" s="27"/>
      <c r="E139" s="79"/>
      <c r="F139" s="79"/>
      <c r="G139" s="79"/>
      <c r="H139" s="79"/>
      <c r="I139" s="79"/>
      <c r="X139" s="79"/>
      <c r="Y139" s="79"/>
      <c r="Z139" s="79"/>
      <c r="AA139" s="79"/>
    </row>
    <row r="140" spans="2:27" ht="9.9499999999999993" customHeight="1" x14ac:dyDescent="0.2">
      <c r="C140" s="82" t="s">
        <v>311</v>
      </c>
      <c r="D140" s="83"/>
      <c r="E140" s="84">
        <v>0</v>
      </c>
      <c r="F140" s="84">
        <v>0</v>
      </c>
      <c r="G140" s="84">
        <v>0</v>
      </c>
      <c r="H140" s="84">
        <v>0</v>
      </c>
      <c r="I140" s="84"/>
      <c r="X140" s="84"/>
      <c r="Y140" s="84"/>
      <c r="Z140" s="84">
        <v>0</v>
      </c>
      <c r="AA140" s="85"/>
    </row>
    <row r="141" spans="2:27" ht="9.9499999999999993" customHeight="1" x14ac:dyDescent="0.2">
      <c r="C141" s="86" t="s">
        <v>312</v>
      </c>
      <c r="D141" s="27"/>
      <c r="E141" s="79">
        <v>1.7470000000000001</v>
      </c>
      <c r="F141" s="79">
        <v>2.4089999999999998</v>
      </c>
      <c r="G141" s="79">
        <v>6.2830000000000004</v>
      </c>
      <c r="H141" s="79">
        <v>6.7770000000000001</v>
      </c>
      <c r="I141" s="79"/>
      <c r="X141" s="79">
        <v>0.92499999999999982</v>
      </c>
      <c r="Y141" s="79">
        <v>3.0830000000000002</v>
      </c>
      <c r="Z141" s="79">
        <v>0.111</v>
      </c>
      <c r="AA141" s="87">
        <v>3.2289999999999996</v>
      </c>
    </row>
    <row r="142" spans="2:27" ht="9.9499999999999993" customHeight="1" x14ac:dyDescent="0.2">
      <c r="C142" s="86" t="s">
        <v>313</v>
      </c>
      <c r="D142" s="27"/>
      <c r="E142" s="79">
        <v>0</v>
      </c>
      <c r="F142" s="79">
        <v>0</v>
      </c>
      <c r="G142" s="79">
        <v>0</v>
      </c>
      <c r="H142" s="79">
        <v>0</v>
      </c>
      <c r="I142" s="79"/>
      <c r="X142" s="79">
        <v>0</v>
      </c>
      <c r="Y142" s="79">
        <v>0</v>
      </c>
      <c r="Z142" s="79">
        <v>3.0939999999999999</v>
      </c>
      <c r="AA142" s="87">
        <v>0</v>
      </c>
    </row>
    <row r="143" spans="2:27" ht="9.9499999999999993" customHeight="1" x14ac:dyDescent="0.2">
      <c r="C143" s="88" t="s">
        <v>314</v>
      </c>
      <c r="D143" s="89"/>
      <c r="E143" s="90">
        <v>0</v>
      </c>
      <c r="F143" s="90">
        <v>0</v>
      </c>
      <c r="G143" s="90">
        <v>0</v>
      </c>
      <c r="H143" s="90">
        <v>3.3340000000000001</v>
      </c>
      <c r="I143" s="90"/>
      <c r="X143" s="90">
        <v>0</v>
      </c>
      <c r="Y143" s="90">
        <v>3.3340000000000001</v>
      </c>
      <c r="Z143" s="90">
        <v>0</v>
      </c>
      <c r="AA143" s="91">
        <v>0</v>
      </c>
    </row>
    <row r="144" spans="2:27" ht="4.3499999999999996" customHeight="1" x14ac:dyDescent="0.2">
      <c r="C144" s="27"/>
      <c r="D144" s="27"/>
      <c r="E144" s="24"/>
      <c r="F144" s="24"/>
      <c r="G144" s="24"/>
      <c r="H144" s="24"/>
      <c r="X144" s="25"/>
      <c r="Y144" s="25"/>
      <c r="Z144" s="26"/>
      <c r="AA144" s="25"/>
    </row>
    <row r="145" spans="2:27" hidden="1" outlineLevel="1" x14ac:dyDescent="0.2">
      <c r="C145" s="68" t="s">
        <v>275</v>
      </c>
      <c r="D145" s="68"/>
      <c r="E145" s="70">
        <f t="shared" ref="E145:AA145" si="33">E138-E52</f>
        <v>0</v>
      </c>
      <c r="F145" s="70">
        <f t="shared" si="33"/>
        <v>0</v>
      </c>
      <c r="G145" s="70">
        <f t="shared" si="33"/>
        <v>0</v>
      </c>
      <c r="H145" s="70">
        <f t="shared" si="33"/>
        <v>0</v>
      </c>
      <c r="I145" s="70">
        <f t="shared" si="33"/>
        <v>0</v>
      </c>
      <c r="J145" s="70">
        <f t="shared" si="33"/>
        <v>0</v>
      </c>
      <c r="K145" s="70">
        <f t="shared" si="33"/>
        <v>0</v>
      </c>
      <c r="L145" s="70">
        <f t="shared" si="33"/>
        <v>0</v>
      </c>
      <c r="M145" s="70">
        <f t="shared" si="33"/>
        <v>0</v>
      </c>
      <c r="N145" s="70">
        <f t="shared" si="33"/>
        <v>0</v>
      </c>
      <c r="O145" s="70">
        <f t="shared" si="33"/>
        <v>0</v>
      </c>
      <c r="P145" s="70">
        <f t="shared" si="33"/>
        <v>0</v>
      </c>
      <c r="Q145" s="70">
        <f t="shared" si="33"/>
        <v>0</v>
      </c>
      <c r="R145" s="70">
        <f t="shared" si="33"/>
        <v>0</v>
      </c>
      <c r="S145" s="70">
        <f t="shared" si="33"/>
        <v>0</v>
      </c>
      <c r="T145" s="70">
        <f t="shared" si="33"/>
        <v>0</v>
      </c>
      <c r="U145" s="70">
        <f t="shared" si="33"/>
        <v>0</v>
      </c>
      <c r="V145" s="70">
        <f t="shared" si="33"/>
        <v>0</v>
      </c>
      <c r="W145" s="70">
        <f t="shared" si="33"/>
        <v>0</v>
      </c>
      <c r="X145" s="70">
        <f t="shared" si="33"/>
        <v>0</v>
      </c>
      <c r="Y145" s="70">
        <f t="shared" si="33"/>
        <v>0</v>
      </c>
      <c r="Z145" s="70">
        <f t="shared" si="33"/>
        <v>0</v>
      </c>
      <c r="AA145" s="70">
        <f t="shared" si="33"/>
        <v>0</v>
      </c>
    </row>
    <row r="146" spans="2:27" collapsed="1" x14ac:dyDescent="0.2">
      <c r="B146" s="97" t="s">
        <v>7</v>
      </c>
      <c r="C146" s="104" t="s">
        <v>232</v>
      </c>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6"/>
    </row>
    <row r="147" spans="2:27" x14ac:dyDescent="0.2">
      <c r="C147" s="107" t="s">
        <v>315</v>
      </c>
      <c r="D147" s="101"/>
      <c r="E147" s="103">
        <f>-E125/E$13</f>
        <v>3.8521356362676479E-2</v>
      </c>
      <c r="F147" s="103">
        <f>-F125/F$13</f>
        <v>4.3289630512514901E-2</v>
      </c>
      <c r="G147" s="103">
        <f>-G125/G$13</f>
        <v>4.6878821227684025E-2</v>
      </c>
      <c r="H147" s="103">
        <f>-H125/H$13</f>
        <v>6.9273842998103644E-2</v>
      </c>
      <c r="I147" s="103"/>
      <c r="J147" s="103"/>
      <c r="K147" s="103"/>
      <c r="L147" s="103"/>
      <c r="M147" s="103"/>
      <c r="N147" s="103"/>
      <c r="O147" s="103"/>
      <c r="P147" s="103"/>
      <c r="Q147" s="103"/>
      <c r="R147" s="103"/>
      <c r="S147" s="103"/>
      <c r="T147" s="103"/>
      <c r="U147" s="103"/>
      <c r="V147" s="103"/>
      <c r="W147" s="103"/>
      <c r="X147" s="103">
        <f>-X125/X$13</f>
        <v>6.3295037626201769E-2</v>
      </c>
      <c r="Y147" s="103">
        <f>-Y125/Y$13</f>
        <v>8.2931989297492362E-2</v>
      </c>
      <c r="Z147" s="103">
        <f>-Z125/Z$13</f>
        <v>3.8933333333333334E-2</v>
      </c>
      <c r="AA147" s="108">
        <f>-AA125/AA$13</f>
        <v>2.0090594856308576E-2</v>
      </c>
    </row>
    <row r="148" spans="2:27" x14ac:dyDescent="0.2">
      <c r="C148" s="107" t="s">
        <v>316</v>
      </c>
      <c r="D148" s="101"/>
      <c r="E148" s="103">
        <f>E107/E$13</f>
        <v>2.632893150411289E-2</v>
      </c>
      <c r="F148" s="103">
        <f>F107/F$13</f>
        <v>3.7131505760826383E-2</v>
      </c>
      <c r="G148" s="103">
        <f>G107/G$13</f>
        <v>4.3153124235754459E-2</v>
      </c>
      <c r="H148" s="103">
        <f>H107/H$13</f>
        <v>5.1139707527266591E-2</v>
      </c>
      <c r="I148" s="103"/>
      <c r="J148" s="103"/>
      <c r="K148" s="103"/>
      <c r="L148" s="103"/>
      <c r="M148" s="103"/>
      <c r="N148" s="103"/>
      <c r="O148" s="103"/>
      <c r="P148" s="103"/>
      <c r="Q148" s="103"/>
      <c r="R148" s="103"/>
      <c r="S148" s="103"/>
      <c r="T148" s="103"/>
      <c r="U148" s="103"/>
      <c r="V148" s="103"/>
      <c r="W148" s="103"/>
      <c r="X148" s="103">
        <f>X107/X$13</f>
        <v>5.0869017969524109E-2</v>
      </c>
      <c r="Y148" s="103">
        <f>Y107/Y$13</f>
        <v>4.9567544023396172E-2</v>
      </c>
      <c r="Z148" s="103">
        <f>Z107/Z$13</f>
        <v>5.2919999999999995E-2</v>
      </c>
      <c r="AA148" s="108">
        <f>AA107/AA$13</f>
        <v>5.5517426407277533E-2</v>
      </c>
    </row>
    <row r="149" spans="2:27" x14ac:dyDescent="0.2">
      <c r="C149" s="114" t="s">
        <v>317</v>
      </c>
      <c r="D149" s="101"/>
      <c r="E149" s="103">
        <f>-E125/E107</f>
        <v>1.4630808833491395</v>
      </c>
      <c r="F149" s="103">
        <f>-F125/F107</f>
        <v>1.1658463513802697</v>
      </c>
      <c r="G149" s="103">
        <f>-G125/G107</f>
        <v>1.0863366687328435</v>
      </c>
      <c r="H149" s="103">
        <f>-H125/H107</f>
        <v>1.3545999057810081</v>
      </c>
      <c r="I149" s="103"/>
      <c r="J149" s="103"/>
      <c r="K149" s="103"/>
      <c r="L149" s="103"/>
      <c r="M149" s="103"/>
      <c r="N149" s="103"/>
      <c r="O149" s="103"/>
      <c r="P149" s="103"/>
      <c r="Q149" s="103"/>
      <c r="R149" s="103"/>
      <c r="S149" s="103"/>
      <c r="T149" s="103"/>
      <c r="U149" s="103"/>
      <c r="V149" s="103"/>
      <c r="W149" s="103"/>
      <c r="X149" s="103">
        <f>-X125/X107</f>
        <v>1.2442748091603055</v>
      </c>
      <c r="Y149" s="103">
        <f>-Y125/Y107</f>
        <v>1.6731107205623899</v>
      </c>
      <c r="Z149" s="103">
        <f>-Z125/Z107</f>
        <v>0.73570168808264047</v>
      </c>
      <c r="AA149" s="108">
        <f>-AA125/AA107</f>
        <v>0.36187907394920216</v>
      </c>
    </row>
    <row r="150" spans="2:27" x14ac:dyDescent="0.2">
      <c r="B150" s="97" t="s">
        <v>7</v>
      </c>
      <c r="C150" s="109" t="s">
        <v>318</v>
      </c>
      <c r="D150" s="110"/>
      <c r="E150" s="111">
        <f>E108/E$13</f>
        <v>4.7553310646433943E-2</v>
      </c>
      <c r="F150" s="111">
        <f>F108/F$13</f>
        <v>5.5943583631307109E-2</v>
      </c>
      <c r="G150" s="111">
        <f>G108/G$13</f>
        <v>6.5144289557348967E-2</v>
      </c>
      <c r="H150" s="111">
        <f>H108/H$13</f>
        <v>6.8936559780008747E-2</v>
      </c>
      <c r="I150" s="111"/>
      <c r="J150" s="111"/>
      <c r="K150" s="111"/>
      <c r="L150" s="111"/>
      <c r="M150" s="111"/>
      <c r="N150" s="111"/>
      <c r="O150" s="111"/>
      <c r="P150" s="111"/>
      <c r="Q150" s="111"/>
      <c r="R150" s="111"/>
      <c r="S150" s="111"/>
      <c r="T150" s="111"/>
      <c r="U150" s="111"/>
      <c r="V150" s="111"/>
      <c r="W150" s="111"/>
      <c r="X150" s="111">
        <f>X108/X$13</f>
        <v>6.3991323210412149E-2</v>
      </c>
      <c r="Y150" s="111">
        <f>Y108/Y$13</f>
        <v>6.00336008960239E-2</v>
      </c>
      <c r="Z150" s="111">
        <f>Z108/Z$13</f>
        <v>6.427999999999999E-2</v>
      </c>
      <c r="AA150" s="112">
        <f>AA108/AA$13</f>
        <v>0.11188339967805135</v>
      </c>
    </row>
    <row r="151" spans="2:27" ht="9.9499999999999993" customHeight="1" outlineLevel="1" x14ac:dyDescent="0.2">
      <c r="C151"/>
      <c r="D151"/>
      <c r="E151"/>
      <c r="F151"/>
      <c r="G151"/>
      <c r="H151"/>
      <c r="I151"/>
      <c r="J151"/>
      <c r="K151"/>
      <c r="L151"/>
      <c r="M151"/>
      <c r="N151"/>
      <c r="O151"/>
      <c r="P151"/>
      <c r="Q151"/>
      <c r="R151"/>
      <c r="S151"/>
      <c r="T151"/>
      <c r="U151"/>
      <c r="V151"/>
      <c r="W151"/>
      <c r="X151"/>
      <c r="Y151"/>
      <c r="Z151"/>
      <c r="AA151"/>
    </row>
    <row r="152" spans="2:27" outlineLevel="1" x14ac:dyDescent="0.2">
      <c r="C152" s="117"/>
      <c r="D152" s="115"/>
      <c r="E152" s="22" t="s">
        <v>244</v>
      </c>
      <c r="F152" s="22" t="s">
        <v>244</v>
      </c>
      <c r="G152" s="22" t="s">
        <v>244</v>
      </c>
      <c r="H152" s="22" t="s">
        <v>244</v>
      </c>
      <c r="Z152" s="22" t="s">
        <v>244</v>
      </c>
      <c r="AA152" s="116"/>
    </row>
    <row r="153" spans="2:27" x14ac:dyDescent="0.2">
      <c r="C153" s="117"/>
      <c r="D153" s="115"/>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row>
    <row r="155" spans="2:27" x14ac:dyDescent="0.2">
      <c r="E155" s="37" t="s">
        <v>319</v>
      </c>
      <c r="F155" s="37"/>
      <c r="G155" s="37"/>
      <c r="H155" s="37"/>
      <c r="I155" s="37"/>
    </row>
  </sheetData>
  <hyperlinks>
    <hyperlink ref="J46" r:id="rId1" xr:uid="{FFFA3EBE-F35F-4F01-9E11-517C3A34D0F2}"/>
    <hyperlink ref="K46" r:id="rId2" xr:uid="{E8A451F0-39F3-4E6A-A582-90190431A0D6}"/>
    <hyperlink ref="L46" r:id="rId3" xr:uid="{FC590E3E-3698-4BE8-AB0A-16A62AC60351}"/>
    <hyperlink ref="E46" r:id="rId4" xr:uid="{2274AA8C-0714-4AAE-9069-81CAB90D9329}"/>
    <hyperlink ref="N46" r:id="rId5" xr:uid="{6E4C5BF0-810B-41A2-A6AB-CF70D9623F95}"/>
    <hyperlink ref="O46" r:id="rId6" xr:uid="{BD7076BA-4523-4A53-9D22-3076BEED0885}"/>
    <hyperlink ref="P46" r:id="rId7" xr:uid="{E3FF0331-FA38-4529-9CA6-E7A3E1FA2EFF}"/>
    <hyperlink ref="F46" r:id="rId8" xr:uid="{D1F83F28-6F7A-45F4-A648-8D1A3DD53BEC}"/>
    <hyperlink ref="R46" r:id="rId9" xr:uid="{7520DD3C-7881-48F1-8712-C3CDD5057E32}"/>
    <hyperlink ref="S46" r:id="rId10" xr:uid="{40E1C817-C44E-4D47-A41A-7C3AE56A261B}"/>
    <hyperlink ref="T46" r:id="rId11" xr:uid="{1C1884D0-B8A4-44CA-B575-496EB619DF5E}"/>
    <hyperlink ref="G46" r:id="rId12" xr:uid="{7A07EB67-5662-444F-88FB-BECB24E363D4}"/>
    <hyperlink ref="V46" r:id="rId13" xr:uid="{C91FA2CF-847D-4E4F-B51C-20644519414A}"/>
    <hyperlink ref="W46" r:id="rId14" xr:uid="{C3ADC6F9-2E1E-46FF-A78F-450764AFE145}"/>
    <hyperlink ref="X46" r:id="rId15" xr:uid="{6929404C-0A65-4575-9CC5-141D058BB165}"/>
    <hyperlink ref="H46" r:id="rId16" xr:uid="{139DE295-CB0D-4363-89DA-6277F69AD0DC}"/>
    <hyperlink ref="Z46" r:id="rId17" xr:uid="{FBDB57B2-9A51-47D2-B62D-669887A5FC6C}"/>
    <hyperlink ref="AA46" r:id="rId18" xr:uid="{0B72DD0F-3430-462B-B1CC-29DBA6D927D2}"/>
    <hyperlink ref="H98" r:id="rId19" xr:uid="{D2D0DE85-D953-43F3-BED4-10E917F7ABDA}"/>
    <hyperlink ref="AA98" r:id="rId20" xr:uid="{99863804-69C3-4039-A57A-DD557915EEBD}"/>
    <hyperlink ref="Z98" r:id="rId21" xr:uid="{66092940-0AE7-4F1A-B5DA-657CAE31FFDD}"/>
    <hyperlink ref="X98" r:id="rId22" xr:uid="{557A939D-91BF-4D97-B55C-85BA08D0AEED}"/>
    <hyperlink ref="E98" r:id="rId23" xr:uid="{C686BC58-5471-40C5-A843-C880AEE443A9}"/>
    <hyperlink ref="F98" r:id="rId24" xr:uid="{DFD3AA8F-7F11-4E3B-8A79-0AFAEB4D0300}"/>
    <hyperlink ref="G98" r:id="rId25" xr:uid="{6CCCCFA9-BD55-4366-B7F7-1006074D4CAD}"/>
    <hyperlink ref="E152" r:id="rId26" xr:uid="{EEAD5A1F-D765-49F0-B8A2-DF3E673D45C6}"/>
    <hyperlink ref="F152" r:id="rId27" xr:uid="{5F3AED3F-71C6-457F-9DD4-4F6068E9E911}"/>
    <hyperlink ref="G152" r:id="rId28" xr:uid="{55F079F9-3A53-4D7D-B90E-95DE43331F82}"/>
    <hyperlink ref="H152" r:id="rId29" xr:uid="{0A333A74-9ADB-4EBD-841D-81D9EC94D854}"/>
    <hyperlink ref="Z152" r:id="rId30" xr:uid="{B0FAE946-1FC4-437D-B346-FDEAD73DA4C8}"/>
  </hyperlinks>
  <pageMargins left="0.75" right="0.75" top="1" bottom="1" header="0.5" footer="0.5"/>
  <pageSetup scale="40" orientation="portrait" r:id="rId31"/>
  <drawing r:id="rId32"/>
  <legacyDrawing r:id="rId3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FE4B-8E4C-4D6C-8DA8-22EC81EB22DD}">
  <sheetPr>
    <tabColor theme="3"/>
  </sheetPr>
  <dimension ref="A1"/>
  <sheetViews>
    <sheetView topLeftCell="A11" workbookViewId="0">
      <selection activeCell="H46" sqref="H46"/>
    </sheetView>
  </sheetViews>
  <sheetFormatPr defaultColWidth="8.875" defaultRowHeight="14.2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7238-036D-44B7-AE2E-90427E79BD5D}">
  <dimension ref="A3:U14"/>
  <sheetViews>
    <sheetView showGridLines="0" view="pageBreakPreview" zoomScaleNormal="100" zoomScaleSheetLayoutView="100" workbookViewId="0">
      <selection activeCell="E16" sqref="E16"/>
    </sheetView>
  </sheetViews>
  <sheetFormatPr defaultColWidth="9" defaultRowHeight="11.25" x14ac:dyDescent="0.2"/>
  <cols>
    <col min="1" max="1" width="9" style="5"/>
    <col min="2" max="2" width="4.625" style="5" customWidth="1"/>
    <col min="3" max="6" width="9" style="5"/>
    <col min="7" max="7" width="10.625" style="5" bestFit="1" customWidth="1"/>
    <col min="8" max="16384" width="9" style="5"/>
  </cols>
  <sheetData>
    <row r="3" spans="1:21" x14ac:dyDescent="0.2">
      <c r="C3" s="41" t="s">
        <v>6</v>
      </c>
      <c r="D3" s="41"/>
      <c r="E3" s="42"/>
      <c r="F3" s="42"/>
      <c r="G3" s="43"/>
      <c r="H3" s="42"/>
      <c r="I3" s="44"/>
      <c r="J3" s="42"/>
      <c r="K3" s="42"/>
      <c r="L3" s="42"/>
      <c r="M3" s="42"/>
      <c r="N3" s="42"/>
      <c r="O3" s="42"/>
      <c r="P3" s="42"/>
      <c r="Q3" s="42"/>
      <c r="R3" s="42"/>
      <c r="S3" s="42"/>
      <c r="T3" s="42"/>
      <c r="U3" s="42"/>
    </row>
    <row r="4" spans="1:21" ht="4.3499999999999996" customHeight="1" x14ac:dyDescent="0.2"/>
    <row r="5" spans="1:21" ht="13.5" x14ac:dyDescent="0.35">
      <c r="A5" s="477">
        <f ca="1">Assumptions!$D$53</f>
        <v>225</v>
      </c>
      <c r="B5" s="97" t="s">
        <v>7</v>
      </c>
      <c r="C5" s="163" t="s">
        <v>320</v>
      </c>
      <c r="D5" s="163"/>
      <c r="F5" s="235" t="str">
        <f>'Cash Flow Assumptions'!N10</f>
        <v>FY'25</v>
      </c>
      <c r="G5" s="235" t="str">
        <f>'Cash Flow Assumptions'!O10</f>
        <v>FY'26</v>
      </c>
      <c r="H5" s="235" t="str">
        <f>'Cash Flow Assumptions'!P10</f>
        <v>FY'27</v>
      </c>
      <c r="I5" s="235" t="str">
        <f>'Cash Flow Assumptions'!Q10</f>
        <v>FY'28</v>
      </c>
      <c r="J5" s="235" t="str">
        <f>'Cash Flow Assumptions'!R10</f>
        <v>FY'29</v>
      </c>
      <c r="K5" s="235" t="str">
        <f>'Cash Flow Assumptions'!S10</f>
        <v>FY'30</v>
      </c>
      <c r="M5" s="10" t="s">
        <v>55</v>
      </c>
      <c r="N5" s="10" t="s">
        <v>66</v>
      </c>
      <c r="O5" s="19" t="s">
        <v>68</v>
      </c>
    </row>
    <row r="6" spans="1:21" x14ac:dyDescent="0.2">
      <c r="C6" s="5" t="s">
        <v>321</v>
      </c>
      <c r="F6" s="352">
        <f>Assumptions!F57</f>
        <v>218.78700000000001</v>
      </c>
      <c r="G6" s="270">
        <f ca="1">F10</f>
        <v>220.10389410000002</v>
      </c>
      <c r="H6" s="270">
        <f ca="1">G10</f>
        <v>221.46595766763002</v>
      </c>
      <c r="I6" s="270">
        <f t="shared" ref="I6:J6" ca="1" si="0">H10</f>
        <v>222.87474001562973</v>
      </c>
      <c r="J6" s="270">
        <f t="shared" ca="1" si="0"/>
        <v>224.33184359816582</v>
      </c>
      <c r="K6" s="270">
        <f ca="1">IF(M6=1,J10,0)</f>
        <v>225</v>
      </c>
      <c r="M6" s="347">
        <f ca="1">Assumptions!D50</f>
        <v>1</v>
      </c>
      <c r="N6" s="348">
        <f>Assumptions!F60</f>
        <v>45931</v>
      </c>
      <c r="O6" s="348">
        <f ca="1">Assumptions!D62</f>
        <v>47574</v>
      </c>
    </row>
    <row r="7" spans="1:21" x14ac:dyDescent="0.2">
      <c r="A7" s="478">
        <f ca="1">Assumptions!$D$59</f>
        <v>3.4299999999999997E-2</v>
      </c>
      <c r="C7" s="349" t="s">
        <v>322</v>
      </c>
      <c r="D7" s="349"/>
      <c r="E7" s="38"/>
      <c r="F7" s="344">
        <f ca="1">-$A$8*$A$5</f>
        <v>-6.1875</v>
      </c>
      <c r="G7" s="344">
        <f ca="1">-$A$8*$A$5</f>
        <v>-6.1875</v>
      </c>
      <c r="H7" s="344">
        <f ca="1">-$A$8*$A$5</f>
        <v>-6.1875</v>
      </c>
      <c r="I7" s="344">
        <f ca="1">-$A$8*$A$5</f>
        <v>-6.1875</v>
      </c>
      <c r="J7" s="344">
        <f ca="1">-$A$8*$A$5</f>
        <v>-6.1875</v>
      </c>
      <c r="K7" s="344">
        <f ca="1">IF(M6=1,-$A$5*$A$8,(-$A$8*$A$5)*(YEARFRAC(N6,O6)-4))</f>
        <v>-6.1875</v>
      </c>
    </row>
    <row r="8" spans="1:21" ht="14.25" x14ac:dyDescent="0.2">
      <c r="A8" s="478">
        <f ca="1">Assumptions!$D$58</f>
        <v>2.75E-2</v>
      </c>
      <c r="C8" s="349" t="s">
        <v>323</v>
      </c>
      <c r="F8" s="343">
        <f ca="1">IF($A$5-F6&lt;(E8+E7),$A$5-F6-F7,F6*$A$7)</f>
        <v>7.5043940999999998</v>
      </c>
      <c r="G8" s="343">
        <f t="shared" ref="G8:K8" ca="1" si="1">IF($A$5-G6&lt;(F8+F7),$A$5-G6-G7,G6*$A$7)</f>
        <v>7.5495635676299999</v>
      </c>
      <c r="H8" s="343">
        <f t="shared" ca="1" si="1"/>
        <v>7.5962823479997095</v>
      </c>
      <c r="I8" s="343">
        <f t="shared" ca="1" si="1"/>
        <v>7.6446035825360994</v>
      </c>
      <c r="J8" s="343">
        <f t="shared" ca="1" si="1"/>
        <v>6.8556564018341817</v>
      </c>
      <c r="K8" s="343">
        <f t="shared" ca="1" si="1"/>
        <v>6.1875</v>
      </c>
      <c r="L8"/>
      <c r="N8"/>
      <c r="O8"/>
      <c r="P8"/>
    </row>
    <row r="9" spans="1:21" ht="14.25" x14ac:dyDescent="0.2">
      <c r="A9"/>
      <c r="C9" s="5" t="s">
        <v>324</v>
      </c>
      <c r="F9" s="343">
        <f t="shared" ref="F9:J9" ca="1" si="2">MAX(SUM(F7:F8),0)</f>
        <v>1.3168940999999998</v>
      </c>
      <c r="G9" s="343">
        <f t="shared" ca="1" si="2"/>
        <v>1.3620635676299999</v>
      </c>
      <c r="H9" s="343">
        <f t="shared" ca="1" si="2"/>
        <v>1.4087823479997095</v>
      </c>
      <c r="I9" s="343">
        <f t="shared" ca="1" si="2"/>
        <v>1.4571035825360994</v>
      </c>
      <c r="J9" s="343">
        <f t="shared" ca="1" si="2"/>
        <v>0.66815640183418168</v>
      </c>
      <c r="K9" s="343">
        <f ca="1">MAX(SUM(K7:K8),0)</f>
        <v>0</v>
      </c>
      <c r="L9"/>
      <c r="N9"/>
      <c r="O9"/>
      <c r="P9"/>
    </row>
    <row r="10" spans="1:21" ht="14.25" x14ac:dyDescent="0.2">
      <c r="A10" s="353"/>
      <c r="B10" s="97" t="s">
        <v>7</v>
      </c>
      <c r="C10" s="345" t="s">
        <v>325</v>
      </c>
      <c r="D10" s="345"/>
      <c r="E10" s="346"/>
      <c r="F10" s="351">
        <f ca="1">F6+F9</f>
        <v>220.10389410000002</v>
      </c>
      <c r="G10" s="351">
        <f t="shared" ref="G10:K10" ca="1" si="3">G6+G9</f>
        <v>221.46595766763002</v>
      </c>
      <c r="H10" s="351">
        <f t="shared" ca="1" si="3"/>
        <v>222.87474001562973</v>
      </c>
      <c r="I10" s="351">
        <f t="shared" ca="1" si="3"/>
        <v>224.33184359816582</v>
      </c>
      <c r="J10" s="351">
        <f t="shared" ca="1" si="3"/>
        <v>225</v>
      </c>
      <c r="K10" s="351">
        <f t="shared" ca="1" si="3"/>
        <v>225</v>
      </c>
      <c r="L10"/>
      <c r="M10"/>
      <c r="N10"/>
      <c r="O10"/>
      <c r="P10"/>
    </row>
    <row r="11" spans="1:21" ht="14.25" x14ac:dyDescent="0.2">
      <c r="A11" s="353"/>
      <c r="B11" s="97"/>
      <c r="C11" s="355"/>
      <c r="D11" s="355"/>
      <c r="E11" s="46"/>
      <c r="F11" s="356"/>
      <c r="G11" s="356"/>
      <c r="H11" s="356"/>
      <c r="I11" s="356"/>
      <c r="J11" s="356"/>
      <c r="K11" s="356"/>
      <c r="L11"/>
      <c r="M11"/>
      <c r="N11"/>
      <c r="O11"/>
      <c r="P11"/>
    </row>
    <row r="12" spans="1:21" ht="14.25" x14ac:dyDescent="0.2">
      <c r="A12" s="353"/>
      <c r="B12" s="97"/>
      <c r="C12" s="359" t="s">
        <v>326</v>
      </c>
      <c r="D12" s="357"/>
      <c r="E12" s="358"/>
      <c r="F12" s="412">
        <f t="shared" ref="F12:J12" ca="1" si="4">MIN(-F8,F7)</f>
        <v>-7.5043940999999998</v>
      </c>
      <c r="G12" s="412">
        <f t="shared" ca="1" si="4"/>
        <v>-7.5495635676299999</v>
      </c>
      <c r="H12" s="412">
        <f t="shared" ca="1" si="4"/>
        <v>-7.5962823479997095</v>
      </c>
      <c r="I12" s="412">
        <f t="shared" ca="1" si="4"/>
        <v>-7.6446035825360994</v>
      </c>
      <c r="J12" s="412">
        <f t="shared" ca="1" si="4"/>
        <v>-6.8556564018341817</v>
      </c>
      <c r="K12" s="412">
        <f ca="1">MIN(-K8,K7)</f>
        <v>-6.1875</v>
      </c>
      <c r="L12"/>
      <c r="M12"/>
      <c r="N12"/>
      <c r="O12"/>
      <c r="P12"/>
    </row>
    <row r="14" spans="1:21" x14ac:dyDescent="0.2">
      <c r="F14" s="34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Z39"/>
  <sheetViews>
    <sheetView showGridLines="0" view="pageBreakPreview" zoomScale="166" zoomScaleNormal="100" zoomScaleSheetLayoutView="100" workbookViewId="0">
      <selection activeCell="F23" sqref="F23"/>
    </sheetView>
  </sheetViews>
  <sheetFormatPr defaultColWidth="13.125" defaultRowHeight="9.9499999999999993" customHeight="1" x14ac:dyDescent="0.2"/>
  <cols>
    <col min="1" max="1" width="4.625" style="8" customWidth="1"/>
    <col min="2" max="2" width="19.125" style="8" customWidth="1"/>
    <col min="3" max="10" width="12.125" style="8" customWidth="1"/>
    <col min="11" max="11" width="4.625" style="8" customWidth="1"/>
    <col min="12" max="16384" width="13.125" style="8"/>
  </cols>
  <sheetData>
    <row r="2" spans="1:26" ht="9.9499999999999993" customHeight="1" x14ac:dyDescent="0.2">
      <c r="B2" s="41" t="str">
        <f>Assumptions!$B$2</f>
        <v xml:space="preserve">A10 Networks, Inc. </v>
      </c>
      <c r="C2" s="44"/>
      <c r="D2" s="43"/>
      <c r="E2" s="44"/>
      <c r="F2" s="44"/>
      <c r="G2" s="44"/>
      <c r="H2" s="44"/>
      <c r="I2" s="44"/>
      <c r="J2" s="44"/>
      <c r="K2" s="44"/>
      <c r="L2" s="44"/>
      <c r="M2" s="44"/>
      <c r="N2" s="44"/>
      <c r="O2" s="44"/>
      <c r="P2" s="44"/>
      <c r="Q2" s="44"/>
      <c r="R2" s="44"/>
      <c r="S2" s="44"/>
      <c r="T2" s="44"/>
      <c r="U2" s="44"/>
      <c r="V2" s="44"/>
      <c r="W2" s="44"/>
      <c r="X2" s="44"/>
      <c r="Y2" s="44"/>
      <c r="Z2" s="44"/>
    </row>
    <row r="3" spans="1:26" ht="9.9499999999999993" customHeight="1" x14ac:dyDescent="0.2">
      <c r="B3" s="193"/>
      <c r="C3" s="45"/>
      <c r="D3" s="134"/>
      <c r="E3" s="45"/>
      <c r="F3" s="45"/>
      <c r="G3" s="45"/>
      <c r="H3" s="45"/>
      <c r="I3" s="45"/>
      <c r="J3" s="45"/>
      <c r="K3" s="45"/>
      <c r="L3" s="45"/>
      <c r="M3" s="45"/>
      <c r="N3" s="45"/>
      <c r="O3" s="45"/>
      <c r="P3" s="45"/>
      <c r="Q3" s="45"/>
      <c r="R3" s="45"/>
      <c r="S3" s="45"/>
      <c r="T3" s="45"/>
      <c r="U3" s="45"/>
      <c r="V3" s="45"/>
      <c r="W3" s="45"/>
      <c r="X3" s="45"/>
      <c r="Y3" s="45"/>
      <c r="Z3" s="45"/>
    </row>
    <row r="4" spans="1:26" ht="9.9499999999999993" customHeight="1" x14ac:dyDescent="0.2">
      <c r="B4" s="119" t="s">
        <v>327</v>
      </c>
      <c r="C4" s="119"/>
      <c r="D4" s="119"/>
      <c r="E4" s="119"/>
      <c r="F4" s="119"/>
      <c r="G4" s="119"/>
      <c r="H4" s="119"/>
      <c r="I4" s="119"/>
      <c r="J4" s="119"/>
    </row>
    <row r="5" spans="1:26" ht="4.3499999999999996" customHeight="1" x14ac:dyDescent="0.2">
      <c r="B5" s="201"/>
      <c r="C5" s="201"/>
      <c r="D5" s="201"/>
      <c r="E5" s="201"/>
      <c r="F5" s="201"/>
      <c r="G5" s="201"/>
      <c r="H5" s="201"/>
      <c r="I5" s="201"/>
      <c r="J5" s="201"/>
    </row>
    <row r="6" spans="1:26" ht="9.9499999999999993" customHeight="1" x14ac:dyDescent="0.2">
      <c r="B6" s="38" t="str">
        <f ca="1">Assumptions!$D$31</f>
        <v>($ in Millions)</v>
      </c>
      <c r="C6" s="201"/>
      <c r="D6" s="201"/>
      <c r="E6" s="201"/>
      <c r="F6" s="201"/>
      <c r="G6" s="201"/>
      <c r="H6" s="201"/>
      <c r="I6" s="201"/>
      <c r="J6" s="201"/>
    </row>
    <row r="7" spans="1:26" ht="9.9499999999999993" customHeight="1" x14ac:dyDescent="0.2">
      <c r="B7" s="124"/>
      <c r="C7" s="124"/>
      <c r="D7" s="124"/>
      <c r="E7" s="118"/>
      <c r="F7" s="118" t="s">
        <v>328</v>
      </c>
      <c r="G7" s="124"/>
      <c r="H7" s="118" t="s">
        <v>329</v>
      </c>
      <c r="I7" s="124"/>
      <c r="J7" s="118" t="s">
        <v>330</v>
      </c>
      <c r="K7" s="118"/>
    </row>
    <row r="8" spans="1:26" ht="12.6" customHeight="1" x14ac:dyDescent="0.2">
      <c r="A8" s="176" t="s">
        <v>7</v>
      </c>
      <c r="B8" s="120" t="s">
        <v>331</v>
      </c>
      <c r="C8" s="121" t="s">
        <v>106</v>
      </c>
      <c r="D8" s="122" t="s">
        <v>332</v>
      </c>
      <c r="E8" s="122" t="s">
        <v>333</v>
      </c>
      <c r="F8" s="122" t="s">
        <v>334</v>
      </c>
      <c r="G8" s="122" t="s">
        <v>335</v>
      </c>
      <c r="H8" s="122" t="s">
        <v>336</v>
      </c>
      <c r="I8" s="122" t="s">
        <v>337</v>
      </c>
      <c r="J8" s="122" t="s">
        <v>334</v>
      </c>
      <c r="L8" s="200" t="s">
        <v>338</v>
      </c>
      <c r="M8" s="200" t="s">
        <v>339</v>
      </c>
    </row>
    <row r="9" spans="1:26" ht="9.9499999999999993" customHeight="1" x14ac:dyDescent="0.2">
      <c r="B9" s="251" t="str">
        <f ca="1">B32</f>
        <v>Radware</v>
      </c>
      <c r="C9" s="288" t="str">
        <f ca="1">C32</f>
        <v>RDWR</v>
      </c>
      <c r="D9" s="289">
        <f ca="1">D32</f>
        <v>21.724409000000001</v>
      </c>
      <c r="E9" s="250">
        <f ca="1">IFERROR(1/D9+$L$9,"NA")</f>
        <v>8.1031171665015139E-2</v>
      </c>
      <c r="F9" s="250">
        <f ca="1">IFERROR(E9-$M$9,"NA")</f>
        <v>3.3231171665015137E-2</v>
      </c>
      <c r="G9" s="290">
        <f ca="1">F32</f>
        <v>0</v>
      </c>
      <c r="H9" s="290">
        <f ca="1">G32</f>
        <v>1300.893153</v>
      </c>
      <c r="I9" s="291">
        <f t="shared" ref="I9:I14" ca="1" si="0">IFERROR(G9/H9,"NA")</f>
        <v>0</v>
      </c>
      <c r="J9" s="250">
        <f ca="1">IFERROR(F9/(1+(1-E32)*I9),"NA")</f>
        <v>3.3231171665015137E-2</v>
      </c>
      <c r="L9" s="479">
        <f ca="1">Assumptions!D89</f>
        <v>3.5000000000000003E-2</v>
      </c>
      <c r="M9" s="479">
        <f ca="1">Assumptions!D91</f>
        <v>4.7800000000000002E-2</v>
      </c>
    </row>
    <row r="10" spans="1:26" ht="9.9499999999999993" customHeight="1" x14ac:dyDescent="0.2">
      <c r="B10" s="251" t="str">
        <f t="shared" ref="B10:D14" ca="1" si="1">B33</f>
        <v>F5</v>
      </c>
      <c r="C10" s="134" t="str">
        <f t="shared" ca="1" si="1"/>
        <v>FFIV</v>
      </c>
      <c r="D10" s="252">
        <f t="shared" ca="1" si="1"/>
        <v>21.817378999999999</v>
      </c>
      <c r="E10" s="250">
        <f t="shared" ref="E10:E14" ca="1" si="2">IFERROR(1/D10+$L$9,"NA")</f>
        <v>8.0835019871085351E-2</v>
      </c>
      <c r="F10" s="250">
        <f t="shared" ref="F10:F14" ca="1" si="3">IFERROR(E10-$M$9,"NA")</f>
        <v>3.3035019871085348E-2</v>
      </c>
      <c r="G10" s="290">
        <f t="shared" ref="G10:H14" ca="1" si="4">F33</f>
        <v>0</v>
      </c>
      <c r="H10" s="290">
        <f t="shared" ca="1" si="4"/>
        <v>22421.506461000001</v>
      </c>
      <c r="I10" s="291">
        <f t="shared" ca="1" si="0"/>
        <v>0</v>
      </c>
      <c r="J10" s="250">
        <f t="shared" ref="J10:J14" ca="1" si="5">IFERROR(F10/(1+(1-E33)*I10),"NA")</f>
        <v>3.3035019871085348E-2</v>
      </c>
    </row>
    <row r="11" spans="1:26" ht="9.9499999999999993" customHeight="1" x14ac:dyDescent="0.2">
      <c r="B11" s="251" t="str">
        <f t="shared" ca="1" si="1"/>
        <v>NetScout Systems</v>
      </c>
      <c r="C11" s="134" t="str">
        <f t="shared" ca="1" si="1"/>
        <v>NTCT</v>
      </c>
      <c r="D11" s="252">
        <f t="shared" ca="1" si="1"/>
        <v>13.377848</v>
      </c>
      <c r="E11" s="250">
        <f t="shared" ca="1" si="2"/>
        <v>0.10975043818706866</v>
      </c>
      <c r="F11" s="250">
        <f t="shared" ca="1" si="3"/>
        <v>6.1950438187068656E-2</v>
      </c>
      <c r="G11" s="290">
        <f t="shared" ca="1" si="4"/>
        <v>0</v>
      </c>
      <c r="H11" s="290">
        <f t="shared" ca="1" si="4"/>
        <v>2860.405162</v>
      </c>
      <c r="I11" s="291">
        <f t="shared" ca="1" si="0"/>
        <v>0</v>
      </c>
      <c r="J11" s="250">
        <f t="shared" ca="1" si="5"/>
        <v>6.1950438187068656E-2</v>
      </c>
    </row>
    <row r="12" spans="1:26" ht="9.9499999999999993" customHeight="1" x14ac:dyDescent="0.2">
      <c r="B12" s="251" t="str">
        <f t="shared" ca="1" si="1"/>
        <v>Akamai Technologies</v>
      </c>
      <c r="C12" s="134" t="str">
        <f t="shared" ca="1" si="1"/>
        <v>AKAM</v>
      </c>
      <c r="D12" s="252">
        <f t="shared" ca="1" si="1"/>
        <v>15.198214999999999</v>
      </c>
      <c r="E12" s="250">
        <f t="shared" ca="1" si="2"/>
        <v>0.1007972005265092</v>
      </c>
      <c r="F12" s="250">
        <f t="shared" ca="1" si="3"/>
        <v>5.2997200526509199E-2</v>
      </c>
      <c r="G12" s="290">
        <f t="shared" ca="1" si="4"/>
        <v>7562.828125</v>
      </c>
      <c r="H12" s="290">
        <f t="shared" ca="1" si="4"/>
        <v>17870.140981</v>
      </c>
      <c r="I12" s="291">
        <f t="shared" ca="1" si="0"/>
        <v>0.42321032234949885</v>
      </c>
      <c r="J12" s="250">
        <f t="shared" ca="1" si="5"/>
        <v>3.9718027830976423E-2</v>
      </c>
    </row>
    <row r="13" spans="1:26" ht="9.9499999999999993" customHeight="1" x14ac:dyDescent="0.2">
      <c r="B13" s="251" t="str">
        <f t="shared" ca="1" si="1"/>
        <v>Extreme Networks</v>
      </c>
      <c r="C13" s="134" t="str">
        <f t="shared" ca="1" si="1"/>
        <v>EXTR</v>
      </c>
      <c r="D13" s="252">
        <f t="shared" ca="1" si="1"/>
        <v>16.294606999999999</v>
      </c>
      <c r="E13" s="250">
        <f t="shared" ca="1" si="2"/>
        <v>9.6369998061321765E-2</v>
      </c>
      <c r="F13" s="250">
        <f t="shared" ca="1" si="3"/>
        <v>4.8569998061321763E-2</v>
      </c>
      <c r="G13" s="290">
        <f t="shared" ca="1" si="4"/>
        <v>177.99499499999999</v>
      </c>
      <c r="H13" s="290">
        <f t="shared" ca="1" si="4"/>
        <v>3008.5111940000002</v>
      </c>
      <c r="I13" s="291">
        <f t="shared" ca="1" si="0"/>
        <v>5.9163813435357281E-2</v>
      </c>
      <c r="J13" s="250">
        <f t="shared" ca="1" si="5"/>
        <v>4.6401231744997627E-2</v>
      </c>
    </row>
    <row r="14" spans="1:26" ht="9.9499999999999993" customHeight="1" x14ac:dyDescent="0.2">
      <c r="B14" s="262" t="str">
        <f t="shared" ca="1" si="1"/>
        <v>Cisco Systems</v>
      </c>
      <c r="C14" s="253" t="str">
        <f t="shared" ca="1" si="1"/>
        <v>CSCO</v>
      </c>
      <c r="D14" s="254">
        <f t="shared" ca="1" si="1"/>
        <v>21.030992999999999</v>
      </c>
      <c r="E14" s="249">
        <f t="shared" ca="1" si="2"/>
        <v>8.2548872276263896E-2</v>
      </c>
      <c r="F14" s="249">
        <f t="shared" ca="1" si="3"/>
        <v>3.4748872276263894E-2</v>
      </c>
      <c r="G14" s="191">
        <f t="shared" ca="1" si="4"/>
        <v>29533</v>
      </c>
      <c r="H14" s="191">
        <f t="shared" ca="1" si="4"/>
        <v>428204.360277</v>
      </c>
      <c r="I14" s="192">
        <f t="shared" ca="1" si="0"/>
        <v>6.8969405124449171E-2</v>
      </c>
      <c r="J14" s="249">
        <f t="shared" ca="1" si="5"/>
        <v>3.2953380013339542E-2</v>
      </c>
    </row>
    <row r="15" spans="1:26" ht="4.3499999999999996" customHeight="1" x14ac:dyDescent="0.2">
      <c r="B15" s="124"/>
      <c r="C15" s="124"/>
      <c r="D15" s="292"/>
      <c r="E15" s="292"/>
      <c r="F15" s="292"/>
      <c r="G15" s="292"/>
      <c r="H15" s="292"/>
      <c r="I15" s="19"/>
      <c r="J15" s="19"/>
    </row>
    <row r="16" spans="1:26" ht="9.9499999999999993" customHeight="1" x14ac:dyDescent="0.2">
      <c r="B16" s="124"/>
      <c r="C16" s="124"/>
      <c r="D16" s="124"/>
      <c r="E16" s="124"/>
      <c r="F16" s="124"/>
      <c r="G16" s="124"/>
      <c r="H16" s="124"/>
      <c r="I16" s="136" t="s">
        <v>340</v>
      </c>
      <c r="J16" s="189">
        <f ca="1">IFERROR(AVERAGE(J9:J14),"NA")</f>
        <v>4.1214878218747121E-2</v>
      </c>
    </row>
    <row r="17" spans="1:14" ht="9.9499999999999993" customHeight="1" x14ac:dyDescent="0.2">
      <c r="B17" s="124"/>
      <c r="C17" s="124"/>
      <c r="D17" s="124"/>
      <c r="E17" s="124"/>
      <c r="F17" s="124"/>
      <c r="G17" s="124"/>
      <c r="H17" s="124"/>
      <c r="I17" s="137" t="s">
        <v>341</v>
      </c>
      <c r="J17" s="190">
        <f ca="1">IFERROR(MEDIAN(J9:J14),"NA")</f>
        <v>3.647459974799578E-2</v>
      </c>
    </row>
    <row r="18" spans="1:14" ht="9.9499999999999993" customHeight="1" x14ac:dyDescent="0.2">
      <c r="A18" s="176" t="s">
        <v>7</v>
      </c>
      <c r="B18" s="306" t="s">
        <v>342</v>
      </c>
      <c r="C18" s="128"/>
      <c r="D18" s="305"/>
      <c r="E18" s="124"/>
      <c r="F18" s="124"/>
      <c r="G18" s="124"/>
      <c r="H18" s="124"/>
    </row>
    <row r="19" spans="1:14" ht="4.3499999999999996" customHeight="1" x14ac:dyDescent="0.2">
      <c r="B19" s="123"/>
      <c r="C19" s="128"/>
      <c r="D19" s="129"/>
      <c r="E19" s="124"/>
      <c r="F19" s="124"/>
      <c r="G19" s="203"/>
      <c r="H19" s="124"/>
    </row>
    <row r="20" spans="1:14" ht="9.9499999999999993" customHeight="1" x14ac:dyDescent="0.2">
      <c r="B20" s="124" t="s">
        <v>343</v>
      </c>
      <c r="D20" s="276">
        <f ca="1">Assumptions!D46/Assumptions!D44</f>
        <v>0.12496643642654741</v>
      </c>
      <c r="E20" s="293"/>
      <c r="F20" s="124"/>
      <c r="G20" s="124"/>
      <c r="H20" s="124"/>
      <c r="L20" s="19" t="s">
        <v>344</v>
      </c>
    </row>
    <row r="21" spans="1:14" ht="9.9499999999999993" customHeight="1" x14ac:dyDescent="0.2">
      <c r="B21" s="124" t="s">
        <v>345</v>
      </c>
      <c r="C21" s="45"/>
      <c r="D21" s="294">
        <f ca="1">Assumptions!D90</f>
        <v>0.21</v>
      </c>
      <c r="L21" s="200" t="s">
        <v>346</v>
      </c>
    </row>
    <row r="22" spans="1:14" ht="9.9499999999999993" customHeight="1" x14ac:dyDescent="0.2">
      <c r="B22" s="45" t="s">
        <v>347</v>
      </c>
      <c r="D22" s="194">
        <f ca="1">IF(L22=1,J16,J17)</f>
        <v>3.647459974799578E-2</v>
      </c>
      <c r="E22" s="138"/>
      <c r="F22" s="295"/>
      <c r="G22" s="124"/>
      <c r="H22" s="124"/>
      <c r="I22" s="124"/>
      <c r="J22" s="124"/>
      <c r="L22" s="480">
        <f ca="1">Assumptions!D95</f>
        <v>0</v>
      </c>
    </row>
    <row r="23" spans="1:14" ht="9.9499999999999993" customHeight="1" x14ac:dyDescent="0.2">
      <c r="B23" s="131" t="s">
        <v>348</v>
      </c>
      <c r="C23" s="132"/>
      <c r="D23" s="197">
        <f ca="1">D22*(1+(1-D21)*D20)</f>
        <v>4.0075499340963203E-2</v>
      </c>
      <c r="F23" s="296"/>
      <c r="G23" s="297"/>
      <c r="H23" s="297"/>
      <c r="I23" s="297"/>
      <c r="J23" s="297"/>
    </row>
    <row r="24" spans="1:14" ht="9.9499999999999993" customHeight="1" x14ac:dyDescent="0.2">
      <c r="B24" s="8" t="s">
        <v>349</v>
      </c>
      <c r="C24" s="298"/>
      <c r="D24" s="196">
        <f ca="1">$M$9</f>
        <v>4.7800000000000002E-2</v>
      </c>
      <c r="F24" s="292"/>
      <c r="G24" s="299"/>
      <c r="H24" s="300"/>
      <c r="I24" s="301"/>
      <c r="J24" s="301"/>
    </row>
    <row r="25" spans="1:14" ht="9.9499999999999993" customHeight="1" x14ac:dyDescent="0.2">
      <c r="B25" s="133" t="s">
        <v>342</v>
      </c>
      <c r="C25" s="130"/>
      <c r="D25" s="195">
        <f ca="1">SUM(D23:D24)</f>
        <v>8.7875499340963198E-2</v>
      </c>
      <c r="F25" s="292"/>
      <c r="G25" s="299"/>
      <c r="H25" s="300"/>
      <c r="I25" s="301"/>
      <c r="J25" s="301"/>
    </row>
    <row r="26" spans="1:14" ht="9.9499999999999993" customHeight="1" x14ac:dyDescent="0.2">
      <c r="D26" s="124"/>
      <c r="F26" s="292"/>
      <c r="G26" s="299"/>
      <c r="H26" s="300"/>
      <c r="I26" s="301"/>
      <c r="J26" s="301"/>
    </row>
    <row r="27" spans="1:14" ht="9.9499999999999993" customHeight="1" x14ac:dyDescent="0.2">
      <c r="D27" s="124"/>
      <c r="F27" s="292"/>
      <c r="G27" s="299"/>
      <c r="H27" s="300"/>
      <c r="I27" s="301"/>
      <c r="J27" s="301"/>
    </row>
    <row r="28" spans="1:14" ht="9.9499999999999993" customHeight="1" x14ac:dyDescent="0.2">
      <c r="A28" s="176" t="s">
        <v>7</v>
      </c>
      <c r="B28" s="123" t="s">
        <v>350</v>
      </c>
      <c r="C28" s="128"/>
      <c r="D28" s="129"/>
      <c r="E28" s="129"/>
      <c r="F28" s="129"/>
      <c r="G28" s="129"/>
      <c r="I28" s="124"/>
      <c r="J28" s="124"/>
    </row>
    <row r="29" spans="1:14" ht="4.3499999999999996" customHeight="1" x14ac:dyDescent="0.2">
      <c r="B29" s="123"/>
      <c r="C29" s="128"/>
      <c r="D29" s="129"/>
      <c r="E29" s="129"/>
      <c r="F29" s="129"/>
      <c r="I29" s="124"/>
      <c r="J29" s="124"/>
    </row>
    <row r="30" spans="1:14" ht="9.9499999999999993" customHeight="1" x14ac:dyDescent="0.2">
      <c r="B30" s="135" t="s">
        <v>103</v>
      </c>
      <c r="C30" s="135" t="s">
        <v>106</v>
      </c>
      <c r="D30" s="135" t="s">
        <v>108</v>
      </c>
      <c r="E30" s="135" t="s">
        <v>109</v>
      </c>
      <c r="F30" s="135" t="s">
        <v>50</v>
      </c>
      <c r="G30" s="135" t="s">
        <v>110</v>
      </c>
      <c r="M30" s="125"/>
      <c r="N30" s="125"/>
    </row>
    <row r="31" spans="1:14" ht="4.3499999999999996" customHeight="1" x14ac:dyDescent="0.2">
      <c r="B31" s="135"/>
      <c r="C31" s="135"/>
      <c r="D31" s="135"/>
      <c r="E31" s="135"/>
      <c r="F31" s="135"/>
      <c r="G31" s="135"/>
      <c r="M31" s="125"/>
      <c r="N31" s="125"/>
    </row>
    <row r="32" spans="1:14" ht="9.9499999999999993" customHeight="1" x14ac:dyDescent="0.2">
      <c r="B32" s="259" t="str">
        <f ca="1">Assumptions!D99</f>
        <v>Radware</v>
      </c>
      <c r="C32" s="174" t="str">
        <f ca="1">Assumptions!D100</f>
        <v>RDWR</v>
      </c>
      <c r="D32" s="181">
        <f ca="1">Assumptions!D101</f>
        <v>21.724409000000001</v>
      </c>
      <c r="E32" s="255">
        <v>0.1</v>
      </c>
      <c r="F32" s="187">
        <f ca="1">Assumptions!D103</f>
        <v>0</v>
      </c>
      <c r="G32" s="184">
        <f ca="1">Assumptions!D104</f>
        <v>1300.893153</v>
      </c>
      <c r="L32" s="125"/>
      <c r="M32" s="126"/>
      <c r="N32" s="125"/>
    </row>
    <row r="33" spans="1:14" ht="9.9499999999999993" customHeight="1" x14ac:dyDescent="0.2">
      <c r="B33" s="260" t="str">
        <f ca="1">Assumptions!D108</f>
        <v>F5</v>
      </c>
      <c r="C33" s="175" t="str">
        <f ca="1">Assumptions!D109</f>
        <v>FFIV</v>
      </c>
      <c r="D33" s="178">
        <f ca="1">Assumptions!D110</f>
        <v>21.817378999999999</v>
      </c>
      <c r="E33" s="256">
        <f ca="1">Assumptions!D111</f>
        <v>0.21</v>
      </c>
      <c r="F33" s="177">
        <f ca="1">Assumptions!D112</f>
        <v>0</v>
      </c>
      <c r="G33" s="185">
        <f ca="1">Assumptions!D113</f>
        <v>22421.506461000001</v>
      </c>
      <c r="L33" s="125"/>
      <c r="M33" s="126"/>
      <c r="N33" s="125"/>
    </row>
    <row r="34" spans="1:14" ht="9.9499999999999993" customHeight="1" x14ac:dyDescent="0.2">
      <c r="B34" s="260" t="str">
        <f ca="1">Assumptions!D117</f>
        <v>NetScout Systems</v>
      </c>
      <c r="C34" s="175" t="str">
        <f ca="1">Assumptions!D118</f>
        <v>NTCT</v>
      </c>
      <c r="D34" s="178">
        <f ca="1">Assumptions!D119</f>
        <v>13.377848</v>
      </c>
      <c r="E34" s="256">
        <f ca="1">Assumptions!D120</f>
        <v>0.21</v>
      </c>
      <c r="F34" s="177">
        <f ca="1">Assumptions!D121</f>
        <v>0</v>
      </c>
      <c r="G34" s="185">
        <f ca="1">Assumptions!D122</f>
        <v>2860.405162</v>
      </c>
      <c r="L34" s="125"/>
      <c r="M34" s="126"/>
      <c r="N34" s="125"/>
    </row>
    <row r="35" spans="1:14" ht="9.9499999999999993" customHeight="1" x14ac:dyDescent="0.2">
      <c r="B35" s="260" t="str">
        <f ca="1">Assumptions!D126</f>
        <v>Akamai Technologies</v>
      </c>
      <c r="C35" s="175" t="str">
        <f ca="1">Assumptions!D127</f>
        <v>AKAM</v>
      </c>
      <c r="D35" s="178">
        <f ca="1">Assumptions!D128</f>
        <v>15.198214999999999</v>
      </c>
      <c r="E35" s="256">
        <f ca="1">Assumptions!D129</f>
        <v>0.21</v>
      </c>
      <c r="F35" s="177">
        <f ca="1">Assumptions!D130</f>
        <v>7562.828125</v>
      </c>
      <c r="G35" s="185">
        <f ca="1">Assumptions!D131</f>
        <v>17870.140981</v>
      </c>
      <c r="L35" s="125"/>
      <c r="M35" s="125"/>
      <c r="N35" s="125"/>
    </row>
    <row r="36" spans="1:14" ht="9.9499999999999993" customHeight="1" x14ac:dyDescent="0.2">
      <c r="B36" s="260" t="str">
        <f ca="1">Assumptions!D135</f>
        <v>Extreme Networks</v>
      </c>
      <c r="C36" s="179" t="str">
        <f ca="1">Assumptions!D136</f>
        <v>EXTR</v>
      </c>
      <c r="D36" s="182">
        <f ca="1">Assumptions!D137</f>
        <v>16.294606999999999</v>
      </c>
      <c r="E36" s="257">
        <f ca="1">Assumptions!D138</f>
        <v>0.21</v>
      </c>
      <c r="F36" s="177">
        <f ca="1">Assumptions!D139</f>
        <v>177.99499499999999</v>
      </c>
      <c r="G36" s="185">
        <f ca="1">Assumptions!D140</f>
        <v>3008.5111940000002</v>
      </c>
      <c r="H36" s="127" t="s">
        <v>351</v>
      </c>
    </row>
    <row r="37" spans="1:14" ht="9.9499999999999993" customHeight="1" x14ac:dyDescent="0.2">
      <c r="A37" s="176" t="s">
        <v>7</v>
      </c>
      <c r="B37" s="261" t="str">
        <f ca="1">Assumptions!D144</f>
        <v>Cisco Systems</v>
      </c>
      <c r="C37" s="180" t="str">
        <f ca="1">Assumptions!D145</f>
        <v>CSCO</v>
      </c>
      <c r="D37" s="183">
        <f ca="1">Assumptions!D146</f>
        <v>21.030992999999999</v>
      </c>
      <c r="E37" s="258">
        <f ca="1">Assumptions!D147</f>
        <v>0.21</v>
      </c>
      <c r="F37" s="188">
        <f ca="1">Assumptions!D148</f>
        <v>29533</v>
      </c>
      <c r="G37" s="186">
        <f ca="1">Assumptions!D149</f>
        <v>428204.360277</v>
      </c>
    </row>
    <row r="38" spans="1:14" ht="9.9499999999999993" customHeight="1" x14ac:dyDescent="0.2">
      <c r="B38" s="134"/>
      <c r="C38" s="45"/>
      <c r="D38" s="45"/>
      <c r="E38" s="45"/>
      <c r="F38" s="45"/>
      <c r="G38" s="45"/>
    </row>
    <row r="39" spans="1:14" ht="9.9499999999999993" customHeight="1" x14ac:dyDescent="0.2">
      <c r="B39" s="134"/>
      <c r="C39" s="45"/>
      <c r="D39" s="45"/>
      <c r="E39" s="45"/>
      <c r="F39" s="45"/>
      <c r="G39" s="45"/>
    </row>
  </sheetData>
  <pageMargins left="0.7" right="0.7" top="0.75" bottom="0.75" header="0" footer="0"/>
  <pageSetup scale="71"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E3B4-33B6-4D84-AFDD-A36FA74E01CF}">
  <sheetPr>
    <pageSetUpPr fitToPage="1"/>
  </sheetPr>
  <dimension ref="A2:W32"/>
  <sheetViews>
    <sheetView showGridLines="0" view="pageBreakPreview" zoomScaleNormal="100" zoomScaleSheetLayoutView="100" workbookViewId="0">
      <pane xSplit="4" ySplit="5" topLeftCell="P6" activePane="bottomRight" state="frozen"/>
      <selection pane="topRight" activeCell="E1" sqref="E1"/>
      <selection pane="bottomLeft" activeCell="A6" sqref="A6"/>
      <selection pane="bottomRight" activeCell="P41" sqref="P41"/>
    </sheetView>
  </sheetViews>
  <sheetFormatPr defaultColWidth="8.875" defaultRowHeight="14.25" x14ac:dyDescent="0.2"/>
  <cols>
    <col min="4" max="4" width="4.625" customWidth="1"/>
    <col min="5" max="5" width="8.625" customWidth="1"/>
    <col min="6" max="11" width="7.125" customWidth="1"/>
    <col min="12" max="12" width="0.875" customWidth="1"/>
    <col min="13" max="17" width="7.125" customWidth="1"/>
    <col min="18" max="18" width="0.875" customWidth="1"/>
    <col min="19" max="23" width="7.125" customWidth="1"/>
  </cols>
  <sheetData>
    <row r="2" spans="1:23" x14ac:dyDescent="0.2">
      <c r="B2" s="41" t="str">
        <f>Assumptions!$B$2</f>
        <v xml:space="preserve">A10 Networks, Inc. </v>
      </c>
      <c r="C2" s="44"/>
      <c r="D2" s="43"/>
      <c r="E2" s="44"/>
      <c r="F2" s="44"/>
      <c r="G2" s="44"/>
      <c r="H2" s="44"/>
      <c r="I2" s="44"/>
      <c r="J2" s="44"/>
      <c r="K2" s="44"/>
      <c r="L2" s="44"/>
      <c r="M2" s="44"/>
      <c r="N2" s="44"/>
      <c r="O2" s="44"/>
      <c r="P2" s="44"/>
      <c r="Q2" s="44"/>
      <c r="R2" s="44"/>
      <c r="S2" s="44"/>
      <c r="T2" s="44"/>
      <c r="U2" s="44"/>
      <c r="V2" s="44"/>
      <c r="W2" s="44"/>
    </row>
    <row r="4" spans="1:23" x14ac:dyDescent="0.2">
      <c r="G4" s="434" t="s">
        <v>352</v>
      </c>
      <c r="H4" s="435"/>
      <c r="I4" s="435"/>
      <c r="J4" s="435"/>
      <c r="K4" s="435"/>
      <c r="M4" s="436" t="s">
        <v>353</v>
      </c>
      <c r="N4" s="437"/>
      <c r="O4" s="437"/>
      <c r="P4" s="437"/>
      <c r="Q4" s="437"/>
      <c r="S4" s="438" t="s">
        <v>354</v>
      </c>
      <c r="T4" s="438"/>
      <c r="U4" s="438"/>
      <c r="V4" s="438"/>
      <c r="W4" s="438"/>
    </row>
    <row r="5" spans="1:23" ht="16.5" x14ac:dyDescent="0.35">
      <c r="F5" s="354" t="str">
        <f>'Cash Flow Assumptions'!N10</f>
        <v>FY'25</v>
      </c>
      <c r="G5" s="216" t="str">
        <f>'Cash Flow Assumptions'!$O$10</f>
        <v>FY'26</v>
      </c>
      <c r="H5" s="216" t="str">
        <f>'Cash Flow Assumptions'!$P$10</f>
        <v>FY'27</v>
      </c>
      <c r="I5" s="216" t="str">
        <f>'Cash Flow Assumptions'!$Q$10</f>
        <v>FY'28</v>
      </c>
      <c r="J5" s="216" t="str">
        <f>'Cash Flow Assumptions'!$R$10</f>
        <v>FY'29</v>
      </c>
      <c r="K5" s="216" t="str">
        <f>'Cash Flow Assumptions'!$S$10</f>
        <v>FY'30</v>
      </c>
      <c r="M5" s="216" t="str">
        <f>'Cash Flow Assumptions'!$O$10</f>
        <v>FY'26</v>
      </c>
      <c r="N5" s="216" t="str">
        <f>'Cash Flow Assumptions'!$P$10</f>
        <v>FY'27</v>
      </c>
      <c r="O5" s="216" t="str">
        <f>'Cash Flow Assumptions'!$Q$10</f>
        <v>FY'28</v>
      </c>
      <c r="P5" s="216" t="str">
        <f>'Cash Flow Assumptions'!$R$10</f>
        <v>FY'29</v>
      </c>
      <c r="Q5" s="216" t="str">
        <f>'Cash Flow Assumptions'!$S$10</f>
        <v>FY'30</v>
      </c>
      <c r="S5" s="427" t="str">
        <f>'Cash Flow Assumptions'!$O$10</f>
        <v>FY'26</v>
      </c>
      <c r="T5" s="427" t="str">
        <f>'Cash Flow Assumptions'!$P$10</f>
        <v>FY'27</v>
      </c>
      <c r="U5" s="427" t="str">
        <f>'Cash Flow Assumptions'!$Q$10</f>
        <v>FY'28</v>
      </c>
      <c r="V5" s="427" t="str">
        <f>'Cash Flow Assumptions'!$R$10</f>
        <v>FY'29</v>
      </c>
      <c r="W5" s="427" t="str">
        <f>'Cash Flow Assumptions'!$S$10</f>
        <v>FY'30</v>
      </c>
    </row>
    <row r="6" spans="1:23" ht="13.5" customHeight="1" x14ac:dyDescent="0.2">
      <c r="A6" s="97" t="s">
        <v>7</v>
      </c>
      <c r="B6" s="55" t="s">
        <v>213</v>
      </c>
      <c r="C6" s="55"/>
      <c r="D6" s="55"/>
      <c r="E6" s="55"/>
      <c r="F6" s="543">
        <f>'Cash Flow Assumptions'!N42</f>
        <v>167.08600000000001</v>
      </c>
      <c r="G6" s="79">
        <f ca="1">'Cash Flow Assumptions'!O42</f>
        <v>193.71044775783929</v>
      </c>
      <c r="H6" s="79">
        <f ca="1">'Cash Flow Assumptions'!P42</f>
        <v>233.74219810666941</v>
      </c>
      <c r="I6" s="79">
        <f ca="1">'Cash Flow Assumptions'!Q42</f>
        <v>298.4383031315387</v>
      </c>
      <c r="J6" s="79">
        <f ca="1">'Cash Flow Assumptions'!R42</f>
        <v>319.23730183785142</v>
      </c>
      <c r="K6" s="79">
        <f ca="1">'Cash Flow Assumptions'!S42</f>
        <v>342.80113621428711</v>
      </c>
      <c r="L6" s="79"/>
      <c r="M6" s="588">
        <v>202.22449499999999</v>
      </c>
      <c r="N6" s="588">
        <v>233.418635725</v>
      </c>
      <c r="O6" s="588">
        <v>238.08700843950001</v>
      </c>
      <c r="P6" s="588">
        <v>254.75309903026502</v>
      </c>
      <c r="Q6" s="588">
        <v>277.6808779429889</v>
      </c>
      <c r="R6" s="583"/>
      <c r="S6" s="585">
        <f t="shared" ref="S6:W10" ca="1" si="0">G6-M6</f>
        <v>-8.5140472421607001</v>
      </c>
      <c r="T6" s="551">
        <f t="shared" ca="1" si="0"/>
        <v>0.32356238166940443</v>
      </c>
      <c r="U6" s="551">
        <f t="shared" ca="1" si="0"/>
        <v>60.351294692038692</v>
      </c>
      <c r="V6" s="551">
        <f t="shared" ca="1" si="0"/>
        <v>64.484202807586399</v>
      </c>
      <c r="W6" s="551">
        <f t="shared" ca="1" si="0"/>
        <v>65.120258271298212</v>
      </c>
    </row>
    <row r="7" spans="1:23" ht="13.5" customHeight="1" x14ac:dyDescent="0.2">
      <c r="B7" s="55" t="s">
        <v>214</v>
      </c>
      <c r="C7" s="55"/>
      <c r="D7" s="55"/>
      <c r="E7" s="55"/>
      <c r="F7" s="543">
        <f>'Cash Flow Assumptions'!N36</f>
        <v>123.471</v>
      </c>
      <c r="G7" s="79">
        <f ca="1">'Cash Flow Assumptions'!O36</f>
        <v>126.75070575754542</v>
      </c>
      <c r="H7" s="79">
        <f ca="1">'Cash Flow Assumptions'!P36</f>
        <v>130.11752889371476</v>
      </c>
      <c r="I7" s="79">
        <f ca="1">'Cash Flow Assumptions'!Q36</f>
        <v>133.57378346904255</v>
      </c>
      <c r="J7" s="79">
        <f ca="1">'Cash Flow Assumptions'!R36</f>
        <v>137.12184501143344</v>
      </c>
      <c r="K7" s="79">
        <f ca="1">'Cash Flow Assumptions'!S36</f>
        <v>140.76415214889283</v>
      </c>
      <c r="L7" s="544"/>
      <c r="M7" s="588">
        <v>125.86103</v>
      </c>
      <c r="N7" s="588">
        <v>134.69766540000001</v>
      </c>
      <c r="O7" s="588">
        <v>133.350688746</v>
      </c>
      <c r="P7" s="588">
        <v>132.01718185854</v>
      </c>
      <c r="Q7" s="588">
        <v>134.65752549571084</v>
      </c>
      <c r="R7" s="583"/>
      <c r="S7" s="551">
        <f t="shared" ca="1" si="0"/>
        <v>0.88967575754541883</v>
      </c>
      <c r="T7" s="551">
        <f t="shared" ca="1" si="0"/>
        <v>-4.5801365062852426</v>
      </c>
      <c r="U7" s="551">
        <f t="shared" ca="1" si="0"/>
        <v>0.22309472304254996</v>
      </c>
      <c r="V7" s="551">
        <f t="shared" ca="1" si="0"/>
        <v>5.104663152893437</v>
      </c>
      <c r="W7" s="551">
        <f t="shared" ca="1" si="0"/>
        <v>6.1066266531819906</v>
      </c>
    </row>
    <row r="8" spans="1:23" ht="13.5" customHeight="1" x14ac:dyDescent="0.2">
      <c r="B8" s="279" t="s">
        <v>215</v>
      </c>
      <c r="C8" s="279"/>
      <c r="D8" s="279"/>
      <c r="E8" s="279"/>
      <c r="F8" s="554">
        <f>SUM(F6:F7)</f>
        <v>290.55700000000002</v>
      </c>
      <c r="G8" s="286">
        <f t="shared" ref="G8:K8" ca="1" si="1">SUM(G6:G7)</f>
        <v>320.46115351538469</v>
      </c>
      <c r="H8" s="286">
        <f t="shared" ca="1" si="1"/>
        <v>363.85972700038417</v>
      </c>
      <c r="I8" s="286">
        <f t="shared" ca="1" si="1"/>
        <v>432.01208660058126</v>
      </c>
      <c r="J8" s="286">
        <f t="shared" ca="1" si="1"/>
        <v>456.35914684928485</v>
      </c>
      <c r="K8" s="286">
        <f t="shared" ca="1" si="1"/>
        <v>483.56528836317995</v>
      </c>
      <c r="L8" s="286"/>
      <c r="M8" s="589">
        <f t="shared" ref="M8:Q8" si="2">SUM(M6:M7)</f>
        <v>328.08552499999996</v>
      </c>
      <c r="N8" s="589">
        <f t="shared" si="2"/>
        <v>368.11630112500001</v>
      </c>
      <c r="O8" s="589">
        <f t="shared" si="2"/>
        <v>371.43769718550004</v>
      </c>
      <c r="P8" s="589">
        <f t="shared" si="2"/>
        <v>386.77028088880502</v>
      </c>
      <c r="Q8" s="589">
        <f t="shared" si="2"/>
        <v>412.33840343869974</v>
      </c>
      <c r="R8" s="363"/>
      <c r="S8" s="586">
        <f t="shared" ca="1" si="0"/>
        <v>-7.624371484615267</v>
      </c>
      <c r="T8" s="586">
        <f t="shared" ca="1" si="0"/>
        <v>-4.2565741246158382</v>
      </c>
      <c r="U8" s="586">
        <f t="shared" ca="1" si="0"/>
        <v>60.574389415081214</v>
      </c>
      <c r="V8" s="586">
        <f t="shared" ca="1" si="0"/>
        <v>69.588865960479836</v>
      </c>
      <c r="W8" s="586">
        <f t="shared" ca="1" si="0"/>
        <v>71.226884924480203</v>
      </c>
    </row>
    <row r="9" spans="1:23" ht="13.5" customHeight="1" x14ac:dyDescent="0.2">
      <c r="B9" s="55" t="s">
        <v>216</v>
      </c>
      <c r="C9" s="55"/>
      <c r="D9" s="55"/>
      <c r="E9" s="55"/>
      <c r="F9" s="543">
        <f>-'Cash Flow Assumptions'!N45</f>
        <v>-33.402999999999999</v>
      </c>
      <c r="G9" s="79">
        <f ca="1">-'Cash Flow Assumptions'!O45</f>
        <v>-38.725626841597169</v>
      </c>
      <c r="H9" s="79">
        <f ca="1">-'Cash Flow Assumptions'!P45</f>
        <v>-46.72857476603113</v>
      </c>
      <c r="I9" s="79">
        <f ca="1">-'Cash Flow Assumptions'!Q45</f>
        <v>-59.662297496515485</v>
      </c>
      <c r="J9" s="79">
        <f ca="1">-'Cash Flow Assumptions'!R45</f>
        <v>-63.820329610438634</v>
      </c>
      <c r="K9" s="79">
        <f ca="1">-'Cash Flow Assumptions'!S45</f>
        <v>-68.531093885578869</v>
      </c>
      <c r="L9" s="79"/>
      <c r="M9" s="588">
        <v>-41.725614960000001</v>
      </c>
      <c r="N9" s="588">
        <v>-49.435437865750004</v>
      </c>
      <c r="O9" s="588">
        <v>-52.379141856689998</v>
      </c>
      <c r="P9" s="588">
        <v>-50.950619806052998</v>
      </c>
      <c r="Q9" s="588">
        <v>-61.089793147457598</v>
      </c>
      <c r="R9" s="583"/>
      <c r="S9" s="585">
        <f t="shared" ca="1" si="0"/>
        <v>2.9999881184028325</v>
      </c>
      <c r="T9" s="585">
        <f t="shared" ca="1" si="0"/>
        <v>2.7068630997188734</v>
      </c>
      <c r="U9" s="585">
        <f t="shared" ca="1" si="0"/>
        <v>-7.2831556398254875</v>
      </c>
      <c r="V9" s="585">
        <f t="shared" ca="1" si="0"/>
        <v>-12.869709804385636</v>
      </c>
      <c r="W9" s="585">
        <f t="shared" ca="1" si="0"/>
        <v>-7.4413007381212708</v>
      </c>
    </row>
    <row r="10" spans="1:23" ht="13.5" customHeight="1" x14ac:dyDescent="0.2">
      <c r="B10" s="55" t="s">
        <v>217</v>
      </c>
      <c r="C10" s="55"/>
      <c r="D10" s="55"/>
      <c r="E10" s="55"/>
      <c r="F10" s="543">
        <f>-'Cash Flow Assumptions'!N51</f>
        <v>-26.638999999999999</v>
      </c>
      <c r="G10" s="79">
        <f ca="1">-'Cash Flow Assumptions'!O51</f>
        <v>-27.346600016807606</v>
      </c>
      <c r="H10" s="79">
        <f ca="1">-'Cash Flow Assumptions'!P51</f>
        <v>-28.072995701012118</v>
      </c>
      <c r="I10" s="79">
        <f ca="1">-'Cash Flow Assumptions'!Q51</f>
        <v>-28.818686313643077</v>
      </c>
      <c r="J10" s="79">
        <f ca="1">-'Cash Flow Assumptions'!R51</f>
        <v>-29.584184377380719</v>
      </c>
      <c r="K10" s="79">
        <f ca="1">-'Cash Flow Assumptions'!S51</f>
        <v>-30.370016028819361</v>
      </c>
      <c r="L10" s="79"/>
      <c r="M10" s="588">
        <v>-23.857785100000001</v>
      </c>
      <c r="N10" s="588">
        <v>-25.528839401999999</v>
      </c>
      <c r="O10" s="588">
        <v>-25.336630861740002</v>
      </c>
      <c r="P10" s="588">
        <v>-25.0832645531226</v>
      </c>
      <c r="Q10" s="588">
        <v>-25.584929844185101</v>
      </c>
      <c r="R10" s="583"/>
      <c r="S10" s="585">
        <f t="shared" ca="1" si="0"/>
        <v>-3.4888149168076055</v>
      </c>
      <c r="T10" s="585">
        <f t="shared" ca="1" si="0"/>
        <v>-2.5441562990121191</v>
      </c>
      <c r="U10" s="585">
        <f t="shared" ca="1" si="0"/>
        <v>-3.4820554519030757</v>
      </c>
      <c r="V10" s="585">
        <f t="shared" ca="1" si="0"/>
        <v>-4.5009198242581192</v>
      </c>
      <c r="W10" s="585">
        <f t="shared" ca="1" si="0"/>
        <v>-4.7850861846342596</v>
      </c>
    </row>
    <row r="11" spans="1:23" ht="13.5" customHeight="1" x14ac:dyDescent="0.2">
      <c r="B11" s="279" t="s">
        <v>218</v>
      </c>
      <c r="C11" s="279"/>
      <c r="D11" s="279"/>
      <c r="E11" s="279"/>
      <c r="F11" s="554">
        <f>SUM(F8:F10)</f>
        <v>230.51499999999999</v>
      </c>
      <c r="G11" s="286">
        <f t="shared" ref="G11:K11" ca="1" si="3">SUM(G8:G10)</f>
        <v>254.38892665697995</v>
      </c>
      <c r="H11" s="286">
        <f t="shared" ca="1" si="3"/>
        <v>289.05815653334093</v>
      </c>
      <c r="I11" s="286">
        <f t="shared" ca="1" si="3"/>
        <v>343.53110279042272</v>
      </c>
      <c r="J11" s="286">
        <f t="shared" ca="1" si="3"/>
        <v>362.95463286146548</v>
      </c>
      <c r="K11" s="286">
        <f t="shared" ca="1" si="3"/>
        <v>384.66417844878174</v>
      </c>
      <c r="L11" s="286"/>
      <c r="M11" s="589">
        <f t="shared" ref="M11:Q11" si="4">SUM(M8:M10)</f>
        <v>262.50212493999993</v>
      </c>
      <c r="N11" s="589">
        <f t="shared" si="4"/>
        <v>293.15202385725001</v>
      </c>
      <c r="O11" s="589">
        <f t="shared" si="4"/>
        <v>293.72192446707004</v>
      </c>
      <c r="P11" s="589">
        <f t="shared" si="4"/>
        <v>310.73639652962942</v>
      </c>
      <c r="Q11" s="589">
        <f t="shared" si="4"/>
        <v>325.663680447057</v>
      </c>
      <c r="R11" s="363"/>
      <c r="S11" s="586">
        <f ca="1">SUM(S8:S10)</f>
        <v>-8.11319828302004</v>
      </c>
      <c r="T11" s="586">
        <f ca="1">SUM(T8:T10)</f>
        <v>-4.0938673239090839</v>
      </c>
      <c r="U11" s="586">
        <f ca="1">SUM(U8:U10)</f>
        <v>49.809178323352654</v>
      </c>
      <c r="V11" s="586">
        <f ca="1">SUM(V8:V10)</f>
        <v>52.218236331836081</v>
      </c>
      <c r="W11" s="586">
        <f ca="1">SUM(W8:W10)</f>
        <v>59.000498001724672</v>
      </c>
    </row>
    <row r="12" spans="1:23" ht="13.5" customHeight="1" x14ac:dyDescent="0.2">
      <c r="B12" s="55" t="s">
        <v>219</v>
      </c>
      <c r="C12" s="55"/>
      <c r="D12" s="55"/>
      <c r="E12" s="55"/>
      <c r="F12" s="543">
        <f>-'Cash Flow Assumptions'!N57</f>
        <v>-84.466999999999999</v>
      </c>
      <c r="G12" s="79">
        <f ca="1">-'Cash Flow Assumptions'!O57</f>
        <v>-89.620569360533921</v>
      </c>
      <c r="H12" s="79">
        <f ca="1">-'Cash Flow Assumptions'!P57</f>
        <v>-101.75746902058555</v>
      </c>
      <c r="I12" s="79">
        <f ca="1">-'Cash Flow Assumptions'!Q57</f>
        <v>-120.81704364806153</v>
      </c>
      <c r="J12" s="79">
        <f ca="1">-'Cash Flow Assumptions'!R57</f>
        <v>-127.62597314796513</v>
      </c>
      <c r="K12" s="79">
        <f ca="1">-'Cash Flow Assumptions'!S57</f>
        <v>-135.23447691146882</v>
      </c>
      <c r="L12" s="79"/>
      <c r="M12" s="588">
        <v>-85.352910550000004</v>
      </c>
      <c r="N12" s="588">
        <v>-92.124237191250003</v>
      </c>
      <c r="O12" s="588">
        <v>-93.773801268230002</v>
      </c>
      <c r="P12" s="588">
        <v>-97.760273031089298</v>
      </c>
      <c r="Q12" s="588">
        <v>-120.90152103161</v>
      </c>
      <c r="R12" s="583"/>
      <c r="S12" s="585">
        <f t="shared" ref="S12:W14" ca="1" si="5">G12-M12</f>
        <v>-4.2676588105339164</v>
      </c>
      <c r="T12" s="585">
        <f t="shared" ca="1" si="5"/>
        <v>-9.6332318293355428</v>
      </c>
      <c r="U12" s="585">
        <f t="shared" ca="1" si="5"/>
        <v>-27.043242379831526</v>
      </c>
      <c r="V12" s="585">
        <f t="shared" ca="1" si="5"/>
        <v>-29.865700116875828</v>
      </c>
      <c r="W12" s="585">
        <f t="shared" ca="1" si="5"/>
        <v>-14.332955879858815</v>
      </c>
    </row>
    <row r="13" spans="1:23" ht="13.5" customHeight="1" x14ac:dyDescent="0.2">
      <c r="B13" s="55" t="s">
        <v>220</v>
      </c>
      <c r="C13" s="55"/>
      <c r="D13" s="55"/>
      <c r="E13" s="55"/>
      <c r="F13" s="543">
        <f>-'Cash Flow Assumptions'!N63</f>
        <v>-69.103999999999999</v>
      </c>
      <c r="G13" s="79">
        <f ca="1">-'Cash Flow Assumptions'!O63</f>
        <v>-80.115288378846174</v>
      </c>
      <c r="H13" s="79">
        <f ca="1">-'Cash Flow Assumptions'!P63</f>
        <v>-81.868438575086444</v>
      </c>
      <c r="I13" s="79">
        <f ca="1">-'Cash Flow Assumptions'!Q63</f>
        <v>-86.402417320116257</v>
      </c>
      <c r="J13" s="79">
        <f ca="1">-'Cash Flow Assumptions'!R63</f>
        <v>-79.862850698624854</v>
      </c>
      <c r="K13" s="79">
        <f ca="1">-'Cash Flow Assumptions'!S63</f>
        <v>-72.534793254477009</v>
      </c>
      <c r="L13" s="79"/>
      <c r="M13" s="588">
        <v>-70.285190249999999</v>
      </c>
      <c r="N13" s="588">
        <v>-63.611297002500002</v>
      </c>
      <c r="O13" s="588">
        <v>-72.801916408954995</v>
      </c>
      <c r="P13" s="588">
        <v>-76.021758986649004</v>
      </c>
      <c r="Q13" s="588">
        <v>-93.761216825287903</v>
      </c>
      <c r="R13" s="583"/>
      <c r="S13" s="585">
        <f t="shared" ca="1" si="5"/>
        <v>-9.8300981288461742</v>
      </c>
      <c r="T13" s="585">
        <f t="shared" ca="1" si="5"/>
        <v>-18.257141572586441</v>
      </c>
      <c r="U13" s="585">
        <f t="shared" ca="1" si="5"/>
        <v>-13.600500911161262</v>
      </c>
      <c r="V13" s="585">
        <f t="shared" ca="1" si="5"/>
        <v>-3.8410917119758494</v>
      </c>
      <c r="W13" s="585">
        <f t="shared" ca="1" si="5"/>
        <v>21.226423570810894</v>
      </c>
    </row>
    <row r="14" spans="1:23" ht="13.5" customHeight="1" x14ac:dyDescent="0.2">
      <c r="B14" s="55" t="s">
        <v>221</v>
      </c>
      <c r="C14" s="55"/>
      <c r="D14" s="55"/>
      <c r="E14" s="55"/>
      <c r="F14" s="543">
        <f>-'Cash Flow Assumptions'!N69</f>
        <v>-29.802</v>
      </c>
      <c r="G14" s="79">
        <f ca="1">-'Cash Flow Assumptions'!O69</f>
        <v>-32.046115351538468</v>
      </c>
      <c r="H14" s="79">
        <f ca="1">-'Cash Flow Assumptions'!P69</f>
        <v>-35.25072688669232</v>
      </c>
      <c r="I14" s="79">
        <f ca="1">-'Cash Flow Assumptions'!Q69</f>
        <v>-38.775799575361553</v>
      </c>
      <c r="J14" s="79">
        <f ca="1">-'Cash Flow Assumptions'!R69</f>
        <v>-42.653379532897709</v>
      </c>
      <c r="K14" s="79">
        <f ca="1">-'Cash Flow Assumptions'!S69</f>
        <v>-46.918717486187482</v>
      </c>
      <c r="L14" s="79"/>
      <c r="M14" s="588">
        <v>-27.871999500000001</v>
      </c>
      <c r="N14" s="588">
        <v>-38.831871622500003</v>
      </c>
      <c r="O14" s="588">
        <v>-38.058146690405003</v>
      </c>
      <c r="P14" s="588">
        <v>-39.744730897768598</v>
      </c>
      <c r="Q14" s="588">
        <v>-42.557224378256997</v>
      </c>
      <c r="R14" s="583"/>
      <c r="S14" s="585">
        <f t="shared" ca="1" si="5"/>
        <v>-4.1741158515384669</v>
      </c>
      <c r="T14" s="585">
        <f t="shared" ca="1" si="5"/>
        <v>3.5811447358076833</v>
      </c>
      <c r="U14" s="585">
        <f t="shared" ca="1" si="5"/>
        <v>-0.71765288495655</v>
      </c>
      <c r="V14" s="585">
        <f t="shared" ca="1" si="5"/>
        <v>-2.9086486351291114</v>
      </c>
      <c r="W14" s="585">
        <f t="shared" ca="1" si="5"/>
        <v>-4.3614931079304853</v>
      </c>
    </row>
    <row r="15" spans="1:23" ht="13.5" customHeight="1" x14ac:dyDescent="0.2">
      <c r="B15" s="279" t="s">
        <v>222</v>
      </c>
      <c r="C15" s="279"/>
      <c r="D15" s="279"/>
      <c r="E15" s="279"/>
      <c r="F15" s="554">
        <f>SUM(F11:F14)</f>
        <v>47.142000000000003</v>
      </c>
      <c r="G15" s="286">
        <f t="shared" ref="G15:K15" ca="1" si="6">SUM(G11:G14)</f>
        <v>52.606953566061385</v>
      </c>
      <c r="H15" s="286">
        <f t="shared" ca="1" si="6"/>
        <v>70.181522050976625</v>
      </c>
      <c r="I15" s="286">
        <f t="shared" ca="1" si="6"/>
        <v>97.535842246883362</v>
      </c>
      <c r="J15" s="286">
        <f t="shared" ca="1" si="6"/>
        <v>112.8124294819778</v>
      </c>
      <c r="K15" s="286">
        <f t="shared" ca="1" si="6"/>
        <v>129.97619079664841</v>
      </c>
      <c r="L15" s="286"/>
      <c r="M15" s="589">
        <f>SUM(M11:M14)</f>
        <v>78.99202463999994</v>
      </c>
      <c r="N15" s="589">
        <f t="shared" ref="N15:Q15" si="7">SUM(N11:N14)</f>
        <v>98.584618040999985</v>
      </c>
      <c r="O15" s="589">
        <f t="shared" si="7"/>
        <v>89.08806009948006</v>
      </c>
      <c r="P15" s="589">
        <f t="shared" si="7"/>
        <v>97.209633614122538</v>
      </c>
      <c r="Q15" s="589">
        <f t="shared" si="7"/>
        <v>68.443718211902109</v>
      </c>
      <c r="R15" s="363"/>
      <c r="S15" s="586">
        <f ca="1">SUM(S11:S14)</f>
        <v>-26.385071073938597</v>
      </c>
      <c r="T15" s="586">
        <f ca="1">SUM(T11:T14)</f>
        <v>-28.403095990023385</v>
      </c>
      <c r="U15" s="586">
        <f ca="1">SUM(U11:U14)</f>
        <v>8.4477821474033163</v>
      </c>
      <c r="V15" s="586">
        <f ca="1">SUM(V11:V14)</f>
        <v>15.602795867855292</v>
      </c>
      <c r="W15" s="586">
        <f ca="1">SUM(W11:W14)</f>
        <v>61.532472584746259</v>
      </c>
    </row>
    <row r="16" spans="1:23" ht="13.5" customHeight="1" x14ac:dyDescent="0.2">
      <c r="B16" s="55" t="s">
        <v>223</v>
      </c>
      <c r="C16" s="55"/>
      <c r="D16" s="55"/>
      <c r="E16" s="55"/>
      <c r="F16" s="543">
        <f>'Cash Flow Assumptions'!N78</f>
        <v>11.628</v>
      </c>
      <c r="G16" s="79">
        <f ca="1">'Cash Flow Assumptions'!O78</f>
        <v>12.093348912605787</v>
      </c>
      <c r="H16" s="79">
        <f ca="1">'Cash Flow Assumptions'!P78</f>
        <v>12.577320942726486</v>
      </c>
      <c r="I16" s="79">
        <f ca="1">'Cash Flow Assumptions'!Q78</f>
        <v>13.080661381683466</v>
      </c>
      <c r="J16" s="79">
        <f ca="1">'Cash Flow Assumptions'!R78</f>
        <v>13.604145347123001</v>
      </c>
      <c r="K16" s="79">
        <f ca="1">'Cash Flow Assumptions'!S78</f>
        <v>14.148578976656436</v>
      </c>
      <c r="L16" s="79"/>
      <c r="M16" s="588">
        <v>3.6330332403459402</v>
      </c>
      <c r="N16" s="588">
        <v>2.15194449795219</v>
      </c>
      <c r="O16" s="588">
        <v>2.44702864050649</v>
      </c>
      <c r="P16" s="588">
        <v>2.7698440223553802</v>
      </c>
      <c r="Q16" s="588">
        <v>3.1351663446476299</v>
      </c>
      <c r="R16" s="583"/>
      <c r="S16" s="585">
        <f t="shared" ref="S16:W17" ca="1" si="8">G16-M16</f>
        <v>8.4603156722598474</v>
      </c>
      <c r="T16" s="585">
        <f t="shared" ca="1" si="8"/>
        <v>10.425376444774296</v>
      </c>
      <c r="U16" s="585">
        <f t="shared" ca="1" si="8"/>
        <v>10.633632741176976</v>
      </c>
      <c r="V16" s="585">
        <f t="shared" ca="1" si="8"/>
        <v>10.834301324767621</v>
      </c>
      <c r="W16" s="585">
        <f t="shared" ca="1" si="8"/>
        <v>11.013412632008807</v>
      </c>
    </row>
    <row r="17" spans="1:23" ht="13.5" customHeight="1" x14ac:dyDescent="0.2">
      <c r="B17" s="55" t="s">
        <v>224</v>
      </c>
      <c r="C17" s="55"/>
      <c r="D17" s="55"/>
      <c r="E17" s="55"/>
      <c r="F17" s="545">
        <f ca="1">'Debt Schedule'!F12</f>
        <v>-7.5043940999999998</v>
      </c>
      <c r="G17" s="546">
        <f ca="1">'Debt Schedule'!G12</f>
        <v>-7.5495635676299999</v>
      </c>
      <c r="H17" s="546">
        <f ca="1">'Debt Schedule'!H12</f>
        <v>-7.5962823479997095</v>
      </c>
      <c r="I17" s="546">
        <f ca="1">'Debt Schedule'!I12</f>
        <v>-7.6446035825360994</v>
      </c>
      <c r="J17" s="546">
        <f ca="1">'Debt Schedule'!J12</f>
        <v>-6.8556564018341817</v>
      </c>
      <c r="K17" s="546">
        <f ca="1">'Debt Schedule'!K12</f>
        <v>-6.1875</v>
      </c>
      <c r="L17" s="546"/>
      <c r="M17" s="588">
        <v>-6.6929999999999996</v>
      </c>
      <c r="N17" s="588">
        <v>-0.02</v>
      </c>
      <c r="O17" s="588">
        <v>-0.02</v>
      </c>
      <c r="P17" s="588">
        <v>-0.02</v>
      </c>
      <c r="Q17" s="588">
        <v>-0.02</v>
      </c>
      <c r="R17" s="583"/>
      <c r="S17" s="585">
        <f t="shared" ca="1" si="8"/>
        <v>-0.8565635676300003</v>
      </c>
      <c r="T17" s="585">
        <f t="shared" ca="1" si="8"/>
        <v>-7.5762823479997099</v>
      </c>
      <c r="U17" s="585">
        <f t="shared" ca="1" si="8"/>
        <v>-7.6246035825360998</v>
      </c>
      <c r="V17" s="585">
        <f t="shared" ca="1" si="8"/>
        <v>-6.8356564018341821</v>
      </c>
      <c r="W17" s="585">
        <f t="shared" ca="1" si="8"/>
        <v>-6.1675000000000004</v>
      </c>
    </row>
    <row r="18" spans="1:23" ht="13.5" customHeight="1" x14ac:dyDescent="0.2">
      <c r="B18" s="279" t="s">
        <v>225</v>
      </c>
      <c r="C18" s="279"/>
      <c r="D18" s="279"/>
      <c r="E18" s="279"/>
      <c r="F18" s="554">
        <f ca="1">SUM(F15:F17)</f>
        <v>51.265605900000004</v>
      </c>
      <c r="G18" s="286">
        <f t="shared" ref="G18:K18" ca="1" si="9">SUM(G15:G17)</f>
        <v>57.150738911037166</v>
      </c>
      <c r="H18" s="286">
        <f t="shared" ca="1" si="9"/>
        <v>75.162560645703408</v>
      </c>
      <c r="I18" s="286">
        <f t="shared" ca="1" si="9"/>
        <v>102.97190004603073</v>
      </c>
      <c r="J18" s="286">
        <f t="shared" ca="1" si="9"/>
        <v>119.56091842726661</v>
      </c>
      <c r="K18" s="286">
        <f t="shared" ca="1" si="9"/>
        <v>137.93726977330485</v>
      </c>
      <c r="L18" s="286"/>
      <c r="M18" s="589">
        <f>SUM(M15:M16)</f>
        <v>82.625057880345878</v>
      </c>
      <c r="N18" s="589">
        <f>SUM(N15:N16)</f>
        <v>100.73656253895217</v>
      </c>
      <c r="O18" s="589">
        <f>SUM(O15:O16)</f>
        <v>91.535088739986548</v>
      </c>
      <c r="P18" s="589">
        <f>SUM(P15:P16)</f>
        <v>99.979477636477924</v>
      </c>
      <c r="Q18" s="589">
        <f>SUM(Q15:Q16)</f>
        <v>71.578884556549738</v>
      </c>
      <c r="R18" s="363"/>
      <c r="S18" s="586"/>
      <c r="T18" s="586">
        <f ca="1">SUM(T15:T17)</f>
        <v>-25.554001893248795</v>
      </c>
      <c r="U18" s="586">
        <f ca="1">SUM(U15:U17)</f>
        <v>11.456811306044191</v>
      </c>
      <c r="V18" s="586">
        <f ca="1">SUM(V15:V17)</f>
        <v>19.601440790788732</v>
      </c>
      <c r="W18" s="586">
        <f ca="1">SUM(W15:W17)</f>
        <v>66.378385216755063</v>
      </c>
    </row>
    <row r="19" spans="1:23" ht="13.5" customHeight="1" x14ac:dyDescent="0.2">
      <c r="B19" s="55" t="s">
        <v>226</v>
      </c>
      <c r="C19" s="55"/>
      <c r="D19" s="55"/>
      <c r="E19" s="55"/>
      <c r="F19" s="547">
        <f ca="1">-F18*Assumptions!$D$90</f>
        <v>-10.765777239</v>
      </c>
      <c r="G19" s="79">
        <f ca="1">-G18*Assumptions!$D$90</f>
        <v>-12.001655171317804</v>
      </c>
      <c r="H19" s="79">
        <f ca="1">-H18*Assumptions!$D$90</f>
        <v>-15.784137735597715</v>
      </c>
      <c r="I19" s="79">
        <f ca="1">-I18*Assumptions!$D$90</f>
        <v>-21.624099009666452</v>
      </c>
      <c r="J19" s="79">
        <f ca="1">-J18*Assumptions!$D$90</f>
        <v>-25.107792869725987</v>
      </c>
      <c r="K19" s="79">
        <f ca="1">-K18*Assumptions!$D$90</f>
        <v>-28.966826652394015</v>
      </c>
      <c r="L19" s="79"/>
      <c r="M19" s="588">
        <v>-7.8329995699827002</v>
      </c>
      <c r="N19" s="588">
        <v>-15.302484380842801</v>
      </c>
      <c r="O19" s="588">
        <v>-8.8315088739986507</v>
      </c>
      <c r="P19" s="588">
        <v>-9.6759477636477893</v>
      </c>
      <c r="Q19" s="588">
        <v>-6.8358884556549997</v>
      </c>
      <c r="R19" s="583"/>
      <c r="S19" s="585">
        <f ca="1">G19-M19</f>
        <v>-4.1686556013351037</v>
      </c>
      <c r="T19" s="585">
        <f ca="1">H19-N19</f>
        <v>-0.48165335475491489</v>
      </c>
      <c r="U19" s="585">
        <f ca="1">I19-O19</f>
        <v>-12.792590135667801</v>
      </c>
      <c r="V19" s="585">
        <f ca="1">J19-P19</f>
        <v>-15.431845106078198</v>
      </c>
      <c r="W19" s="585">
        <f ca="1">K19-Q19</f>
        <v>-22.130938196739017</v>
      </c>
    </row>
    <row r="20" spans="1:23" ht="13.5" customHeight="1" x14ac:dyDescent="0.2">
      <c r="B20" s="282" t="s">
        <v>227</v>
      </c>
      <c r="C20" s="282"/>
      <c r="D20" s="282"/>
      <c r="E20" s="282"/>
      <c r="F20" s="555">
        <f ca="1">SUM(F18:F19)</f>
        <v>40.499828661000002</v>
      </c>
      <c r="G20" s="287">
        <f t="shared" ref="G20:J20" ca="1" si="10">SUM(G18:G19)</f>
        <v>45.149083739719359</v>
      </c>
      <c r="H20" s="287">
        <f t="shared" ca="1" si="10"/>
        <v>59.378422910105691</v>
      </c>
      <c r="I20" s="287">
        <f t="shared" ca="1" si="10"/>
        <v>81.347801036364274</v>
      </c>
      <c r="J20" s="287">
        <f t="shared" ca="1" si="10"/>
        <v>94.453125557540631</v>
      </c>
      <c r="K20" s="287">
        <f ca="1">SUM(K18:K19)</f>
        <v>108.97044312091083</v>
      </c>
      <c r="L20" s="287"/>
      <c r="M20" s="590">
        <f>SUM(M18:M19)</f>
        <v>74.792058310363174</v>
      </c>
      <c r="N20" s="590">
        <f t="shared" ref="N20:Q20" si="11">SUM(N18:N19)</f>
        <v>85.434078158109372</v>
      </c>
      <c r="O20" s="590">
        <f t="shared" si="11"/>
        <v>82.703579865987905</v>
      </c>
      <c r="P20" s="590">
        <f t="shared" si="11"/>
        <v>90.30352987283014</v>
      </c>
      <c r="Q20" s="590">
        <f t="shared" si="11"/>
        <v>64.742996100894743</v>
      </c>
      <c r="R20" s="364"/>
      <c r="S20" s="486">
        <f ca="1">SUM(S18:S19)</f>
        <v>-4.1686556013351037</v>
      </c>
      <c r="T20" s="486">
        <f ca="1">SUM(T18:T19)</f>
        <v>-26.03565524800371</v>
      </c>
      <c r="U20" s="486">
        <f ca="1">SUM(U18:U19)</f>
        <v>-1.3357788296236102</v>
      </c>
      <c r="V20" s="486">
        <f ca="1">SUM(V18:V19)</f>
        <v>4.1695956847105347</v>
      </c>
      <c r="W20" s="486">
        <f ca="1">SUM(W18:W19)</f>
        <v>44.247447020016047</v>
      </c>
    </row>
    <row r="21" spans="1:23" ht="13.5" customHeight="1" x14ac:dyDescent="0.2">
      <c r="B21" s="148" t="s">
        <v>355</v>
      </c>
      <c r="C21" s="148"/>
      <c r="D21" s="148"/>
      <c r="E21" s="148"/>
      <c r="F21" s="545">
        <f>'Cash Flow Assumptions'!N84</f>
        <v>14.859</v>
      </c>
      <c r="G21" s="362">
        <f ca="1">'Cash Flow Assumptions'!O84</f>
        <v>16.388289664627255</v>
      </c>
      <c r="H21" s="362">
        <f ca="1">'Cash Flow Assumptions'!P84</f>
        <v>18.607680019750713</v>
      </c>
      <c r="I21" s="362">
        <f ca="1">'Cash Flow Assumptions'!Q84</f>
        <v>22.092971756997891</v>
      </c>
      <c r="J21" s="362">
        <f ca="1">'Cash Flow Assumptions'!R84</f>
        <v>23.338073297265332</v>
      </c>
      <c r="K21" s="362">
        <f ca="1">'Cash Flow Assumptions'!S84</f>
        <v>24.729387417231354</v>
      </c>
      <c r="L21" s="362"/>
      <c r="M21" s="588">
        <v>16.585999999999999</v>
      </c>
      <c r="N21" s="588">
        <v>6.6</v>
      </c>
      <c r="O21" s="588">
        <v>6.8</v>
      </c>
      <c r="P21" s="588">
        <v>6.8</v>
      </c>
      <c r="Q21" s="588">
        <v>6.8</v>
      </c>
      <c r="R21" s="583"/>
      <c r="S21" s="585">
        <f t="shared" ref="S21:W25" ca="1" si="12">G21-M21</f>
        <v>-0.19771033537274363</v>
      </c>
      <c r="T21" s="585">
        <f t="shared" ca="1" si="12"/>
        <v>12.007680019750714</v>
      </c>
      <c r="U21" s="585">
        <f t="shared" ca="1" si="12"/>
        <v>15.29297175699789</v>
      </c>
      <c r="V21" s="585">
        <f t="shared" ca="1" si="12"/>
        <v>16.538073297265331</v>
      </c>
      <c r="W21" s="585">
        <f t="shared" ca="1" si="12"/>
        <v>17.929387417231354</v>
      </c>
    </row>
    <row r="22" spans="1:23" ht="13.5" customHeight="1" x14ac:dyDescent="0.2">
      <c r="B22" s="148" t="s">
        <v>356</v>
      </c>
      <c r="C22" s="148"/>
      <c r="D22" s="148"/>
      <c r="E22" s="148"/>
      <c r="F22" s="545">
        <f>'Cash Flow Assumptions'!N75</f>
        <v>1.341</v>
      </c>
      <c r="G22" s="362">
        <f>'Cash Flow Assumptions'!O75</f>
        <v>2.4729999999999999</v>
      </c>
      <c r="H22" s="362">
        <f>'Cash Flow Assumptions'!P75</f>
        <v>3.2789999999999999</v>
      </c>
      <c r="I22" s="362">
        <f>'Cash Flow Assumptions'!Q75</f>
        <v>3.2789999999999999</v>
      </c>
      <c r="J22" s="362">
        <f>'Cash Flow Assumptions'!R75</f>
        <v>3.1970000000000001</v>
      </c>
      <c r="K22" s="362">
        <f>'Cash Flow Assumptions'!S75</f>
        <v>2.0249999999999999</v>
      </c>
      <c r="L22" s="362"/>
      <c r="M22" s="588">
        <v>2.4729999999999999</v>
      </c>
      <c r="N22" s="588">
        <v>3.2789999999999999</v>
      </c>
      <c r="O22" s="588">
        <v>3.2789999999999999</v>
      </c>
      <c r="P22" s="588">
        <v>3.1970000000000001</v>
      </c>
      <c r="Q22" s="588">
        <v>2.0249999999999999</v>
      </c>
      <c r="R22" s="583"/>
      <c r="S22" s="585">
        <f t="shared" si="12"/>
        <v>0</v>
      </c>
      <c r="T22" s="585">
        <f t="shared" si="12"/>
        <v>0</v>
      </c>
      <c r="U22" s="585">
        <f t="shared" si="12"/>
        <v>0</v>
      </c>
      <c r="V22" s="585">
        <f t="shared" si="12"/>
        <v>0</v>
      </c>
      <c r="W22" s="585">
        <f t="shared" si="12"/>
        <v>0</v>
      </c>
    </row>
    <row r="23" spans="1:23" ht="13.5" customHeight="1" x14ac:dyDescent="0.2">
      <c r="B23" s="148" t="s">
        <v>357</v>
      </c>
      <c r="C23" s="148"/>
      <c r="D23" s="148"/>
      <c r="E23" s="148"/>
      <c r="F23" s="545">
        <f>-'Cash Flow Assumptions'!N90</f>
        <v>-20.128</v>
      </c>
      <c r="G23" s="362">
        <f ca="1">-'Cash Flow Assumptions'!O90</f>
        <v>-20.597269868039024</v>
      </c>
      <c r="H23" s="362">
        <f ca="1">-'Cash Flow Assumptions'!P90</f>
        <v>-21.567364331553623</v>
      </c>
      <c r="I23" s="362">
        <f ca="1">-'Cash Flow Assumptions'!Q90</f>
        <v>-23.446956161443101</v>
      </c>
      <c r="J23" s="362">
        <f ca="1">-'Cash Flow Assumptions'!R90</f>
        <v>-22.486568952600187</v>
      </c>
      <c r="K23" s="362">
        <f ca="1">-'Cash Flow Assumptions'!S90</f>
        <v>-21.409293656324145</v>
      </c>
      <c r="L23" s="362"/>
      <c r="M23" s="588">
        <v>-6.53</v>
      </c>
      <c r="N23" s="588">
        <v>-4</v>
      </c>
      <c r="O23" s="588">
        <v>-4</v>
      </c>
      <c r="P23" s="588">
        <v>-4</v>
      </c>
      <c r="Q23" s="588">
        <v>-4</v>
      </c>
      <c r="R23" s="583"/>
      <c r="S23" s="585">
        <f t="shared" ca="1" si="12"/>
        <v>-14.067269868039023</v>
      </c>
      <c r="T23" s="585">
        <f t="shared" ca="1" si="12"/>
        <v>-17.567364331553623</v>
      </c>
      <c r="U23" s="585">
        <f t="shared" ca="1" si="12"/>
        <v>-19.446956161443101</v>
      </c>
      <c r="V23" s="585">
        <f t="shared" ca="1" si="12"/>
        <v>-18.486568952600187</v>
      </c>
      <c r="W23" s="585">
        <f t="shared" ca="1" si="12"/>
        <v>-17.409293656324145</v>
      </c>
    </row>
    <row r="24" spans="1:23" ht="13.5" customHeight="1" x14ac:dyDescent="0.2">
      <c r="B24" s="148" t="s">
        <v>358</v>
      </c>
      <c r="C24" s="148"/>
      <c r="D24" s="148"/>
      <c r="E24" s="148"/>
      <c r="F24" s="545">
        <f>-'Cash Flow Assumptions'!N96</f>
        <v>23.706000000000003</v>
      </c>
      <c r="G24" s="362">
        <f ca="1">-'Cash Flow Assumptions'!O96</f>
        <v>1.9929943917048547</v>
      </c>
      <c r="H24" s="362">
        <f ca="1">-'Cash Flow Assumptions'!P96</f>
        <v>4.4229038354414172</v>
      </c>
      <c r="I24" s="362">
        <f ca="1">-'Cash Flow Assumptions'!Q96</f>
        <v>8.5270261975639983</v>
      </c>
      <c r="J24" s="362">
        <f ca="1">-'Cash Flow Assumptions'!R96</f>
        <v>3.9800100960360965</v>
      </c>
      <c r="K24" s="362">
        <f ca="1">-'Cash Flow Assumptions'!S96</f>
        <v>4.8902447436039154</v>
      </c>
      <c r="L24" s="362"/>
      <c r="M24" s="588">
        <v>9.1281268146181276</v>
      </c>
      <c r="N24" s="588">
        <v>3.2865639597802669</v>
      </c>
      <c r="O24" s="588">
        <v>0.27268970640264456</v>
      </c>
      <c r="P24" s="588">
        <v>1.2588193856707619</v>
      </c>
      <c r="Q24" s="588">
        <v>2.0991666469152221</v>
      </c>
      <c r="R24" s="583"/>
      <c r="S24" s="585">
        <f t="shared" ca="1" si="12"/>
        <v>-7.1351324229132729</v>
      </c>
      <c r="T24" s="585">
        <f t="shared" ca="1" si="12"/>
        <v>1.1363398756611502</v>
      </c>
      <c r="U24" s="585">
        <f t="shared" ca="1" si="12"/>
        <v>8.2543364911613537</v>
      </c>
      <c r="V24" s="585">
        <f t="shared" ca="1" si="12"/>
        <v>2.7211907103653346</v>
      </c>
      <c r="W24" s="585">
        <f t="shared" ca="1" si="12"/>
        <v>2.7910780966886932</v>
      </c>
    </row>
    <row r="25" spans="1:23" ht="13.5" customHeight="1" x14ac:dyDescent="0.2">
      <c r="B25" s="148" t="s">
        <v>359</v>
      </c>
      <c r="C25" s="148"/>
      <c r="D25" s="148"/>
      <c r="E25" s="148"/>
      <c r="F25" s="548">
        <v>0</v>
      </c>
      <c r="G25" s="549">
        <v>0</v>
      </c>
      <c r="H25" s="549">
        <v>0</v>
      </c>
      <c r="I25" s="549">
        <v>0</v>
      </c>
      <c r="J25" s="549">
        <v>0</v>
      </c>
      <c r="K25" s="549">
        <v>0</v>
      </c>
      <c r="L25" s="549"/>
      <c r="M25" s="591">
        <v>0</v>
      </c>
      <c r="N25" s="591">
        <v>0</v>
      </c>
      <c r="O25" s="591">
        <v>0</v>
      </c>
      <c r="P25" s="591">
        <v>0</v>
      </c>
      <c r="Q25" s="591">
        <v>0</v>
      </c>
      <c r="R25" s="584"/>
      <c r="S25" s="587">
        <f t="shared" si="12"/>
        <v>0</v>
      </c>
      <c r="T25" s="587">
        <f t="shared" si="12"/>
        <v>0</v>
      </c>
      <c r="U25" s="587">
        <f t="shared" si="12"/>
        <v>0</v>
      </c>
      <c r="V25" s="587">
        <f t="shared" si="12"/>
        <v>0</v>
      </c>
      <c r="W25" s="587">
        <f t="shared" si="12"/>
        <v>0</v>
      </c>
    </row>
    <row r="26" spans="1:23" ht="13.5" customHeight="1" x14ac:dyDescent="0.2">
      <c r="A26" s="97" t="s">
        <v>7</v>
      </c>
      <c r="B26" s="157" t="s">
        <v>360</v>
      </c>
      <c r="C26" s="157"/>
      <c r="D26" s="157"/>
      <c r="E26" s="157"/>
      <c r="F26" s="555">
        <f ca="1">SUM(F20:F25)</f>
        <v>60.277828661000008</v>
      </c>
      <c r="G26" s="287">
        <f t="shared" ref="G26:K26" ca="1" si="13">SUM(G20:G25)</f>
        <v>45.406097928012443</v>
      </c>
      <c r="H26" s="287">
        <f t="shared" ca="1" si="13"/>
        <v>64.120642433744194</v>
      </c>
      <c r="I26" s="287">
        <f t="shared" ca="1" si="13"/>
        <v>91.799842829483055</v>
      </c>
      <c r="J26" s="287">
        <f t="shared" ca="1" si="13"/>
        <v>102.48163999824189</v>
      </c>
      <c r="K26" s="287">
        <f t="shared" ca="1" si="13"/>
        <v>119.20578162542196</v>
      </c>
      <c r="L26" s="287"/>
      <c r="M26" s="590">
        <f t="shared" ref="M26:Q26" si="14">SUM(M20:M25)</f>
        <v>96.449185124981298</v>
      </c>
      <c r="N26" s="590">
        <f t="shared" si="14"/>
        <v>94.59964211788963</v>
      </c>
      <c r="O26" s="590">
        <f t="shared" si="14"/>
        <v>89.055269572390543</v>
      </c>
      <c r="P26" s="590">
        <f t="shared" si="14"/>
        <v>97.559349258500902</v>
      </c>
      <c r="Q26" s="590">
        <f t="shared" si="14"/>
        <v>71.667162747809968</v>
      </c>
      <c r="R26" s="364"/>
      <c r="S26" s="486">
        <f ca="1">G26-M26</f>
        <v>-51.043087196968855</v>
      </c>
      <c r="T26" s="486">
        <f ca="1">H26-N26</f>
        <v>-30.478999684145435</v>
      </c>
      <c r="U26" s="486">
        <f ca="1">I26-O26</f>
        <v>2.7445732570925117</v>
      </c>
      <c r="V26" s="486">
        <f ca="1">J26-P26</f>
        <v>4.922290739740987</v>
      </c>
      <c r="W26" s="486">
        <f ca="1">K26-Q26</f>
        <v>47.538618877611995</v>
      </c>
    </row>
    <row r="27" spans="1:23" ht="4.3499999999999996" customHeight="1" x14ac:dyDescent="0.2">
      <c r="A27" s="97"/>
      <c r="B27" s="350"/>
      <c r="C27" s="350"/>
      <c r="D27" s="350"/>
      <c r="E27" s="8"/>
      <c r="F27" s="550"/>
      <c r="G27" s="551"/>
      <c r="H27" s="551"/>
      <c r="I27" s="551"/>
      <c r="J27" s="551"/>
      <c r="K27" s="551"/>
      <c r="L27" s="551"/>
      <c r="M27" s="592"/>
      <c r="N27" s="592"/>
      <c r="O27" s="592"/>
      <c r="P27" s="592"/>
      <c r="Q27" s="592"/>
      <c r="R27" s="414"/>
      <c r="S27" s="46"/>
      <c r="T27" s="46"/>
      <c r="U27" s="46"/>
      <c r="V27" s="46"/>
      <c r="W27" s="46"/>
    </row>
    <row r="28" spans="1:23" ht="13.5" customHeight="1" x14ac:dyDescent="0.2">
      <c r="B28" s="151" t="s">
        <v>361</v>
      </c>
      <c r="C28" s="151"/>
      <c r="D28" s="151"/>
      <c r="E28" s="361"/>
      <c r="F28" s="552">
        <f ca="1">SUM(F20:F24)</f>
        <v>60.277828661000008</v>
      </c>
      <c r="G28" s="553">
        <f t="shared" ref="G28:K28" ca="1" si="15">SUM(G20:G24)</f>
        <v>45.406097928012443</v>
      </c>
      <c r="H28" s="553">
        <f t="shared" ca="1" si="15"/>
        <v>64.120642433744194</v>
      </c>
      <c r="I28" s="553">
        <f t="shared" ca="1" si="15"/>
        <v>91.799842829483055</v>
      </c>
      <c r="J28" s="553">
        <f t="shared" ca="1" si="15"/>
        <v>102.48163999824189</v>
      </c>
      <c r="K28" s="553">
        <f t="shared" ca="1" si="15"/>
        <v>119.20578162542196</v>
      </c>
      <c r="L28" s="553"/>
      <c r="M28" s="593">
        <f t="shared" ref="M28:Q28" si="16">SUM(M20:M24)</f>
        <v>96.449185124981298</v>
      </c>
      <c r="N28" s="593">
        <f t="shared" si="16"/>
        <v>94.59964211788963</v>
      </c>
      <c r="O28" s="593">
        <f t="shared" si="16"/>
        <v>89.055269572390543</v>
      </c>
      <c r="P28" s="593">
        <f t="shared" si="16"/>
        <v>97.559349258500902</v>
      </c>
      <c r="Q28" s="593">
        <f t="shared" si="16"/>
        <v>71.667162747809968</v>
      </c>
      <c r="R28" s="433"/>
      <c r="S28" s="553"/>
      <c r="T28" s="553"/>
      <c r="U28" s="553"/>
      <c r="V28" s="553"/>
      <c r="W28" s="553"/>
    </row>
    <row r="31" spans="1:23" x14ac:dyDescent="0.2">
      <c r="M31" s="449"/>
    </row>
    <row r="32" spans="1:23" x14ac:dyDescent="0.2">
      <c r="M32" s="449"/>
    </row>
  </sheetData>
  <conditionalFormatting sqref="S6:W26">
    <cfRule type="cellIs" dxfId="1" priority="1" operator="greaterThan">
      <formula>0</formula>
    </cfRule>
    <cfRule type="cellIs" dxfId="0" priority="2" operator="lessThan">
      <formula>0</formula>
    </cfRule>
  </conditionalFormatting>
  <pageMargins left="0.7" right="0.7" top="0.75" bottom="0.75" header="0.3" footer="0.3"/>
  <pageSetup scale="56"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Z1002"/>
  <sheetViews>
    <sheetView showGridLines="0" tabSelected="1" topLeftCell="A3" zoomScaleNormal="100" workbookViewId="0">
      <selection activeCell="X43" sqref="X43"/>
    </sheetView>
  </sheetViews>
  <sheetFormatPr defaultColWidth="12.625" defaultRowHeight="15" customHeight="1" outlineLevelRow="1" outlineLevelCol="1" x14ac:dyDescent="0.2"/>
  <cols>
    <col min="1" max="1" width="2.625" style="8" customWidth="1"/>
    <col min="2" max="2" width="4.625" style="8" customWidth="1"/>
    <col min="3" max="6" width="8" style="8" customWidth="1"/>
    <col min="7" max="7" width="9.375" style="8" customWidth="1"/>
    <col min="8" max="13" width="8" style="8" customWidth="1"/>
    <col min="14" max="14" width="9.375" style="8" customWidth="1"/>
    <col min="15" max="15" width="8" style="8" customWidth="1" outlineLevel="1"/>
    <col min="16" max="19" width="7.625" style="8" customWidth="1" outlineLevel="1"/>
    <col min="20" max="20" width="7.625" style="8" customWidth="1"/>
    <col min="21" max="21" width="20.625" style="8" customWidth="1"/>
    <col min="22" max="24" width="13.125" style="8" customWidth="1"/>
    <col min="25" max="26" width="7.625" style="8" customWidth="1"/>
    <col min="27" max="16384" width="12.625" style="8"/>
  </cols>
  <sheetData>
    <row r="1" spans="2:26" ht="12.75" customHeight="1" x14ac:dyDescent="0.2">
      <c r="B1" s="124"/>
      <c r="C1" s="41" t="s">
        <v>6</v>
      </c>
      <c r="D1" s="42"/>
      <c r="E1" s="43"/>
      <c r="F1" s="42"/>
      <c r="G1" s="44"/>
      <c r="H1" s="42"/>
      <c r="I1" s="42"/>
      <c r="J1" s="42"/>
      <c r="K1" s="42"/>
      <c r="L1" s="42"/>
      <c r="M1" s="42"/>
      <c r="N1" s="42"/>
      <c r="O1" s="42"/>
      <c r="P1" s="42"/>
      <c r="Q1" s="42"/>
      <c r="R1" s="42"/>
      <c r="S1" s="42"/>
      <c r="V1" s="124"/>
      <c r="W1" s="124"/>
      <c r="X1" s="124"/>
      <c r="Y1" s="124"/>
      <c r="Z1" s="124"/>
    </row>
    <row r="2" spans="2:26" ht="12.75" customHeight="1" x14ac:dyDescent="0.2">
      <c r="B2" s="124"/>
      <c r="C2" s="124"/>
      <c r="D2" s="124"/>
      <c r="E2" s="124"/>
      <c r="F2" s="124"/>
      <c r="G2" s="124"/>
      <c r="H2" s="124"/>
      <c r="I2" s="124"/>
      <c r="J2" s="124"/>
      <c r="K2" s="124"/>
      <c r="L2" s="124"/>
      <c r="M2" s="124"/>
      <c r="N2" s="124"/>
      <c r="O2" s="124"/>
      <c r="V2" s="124"/>
    </row>
    <row r="3" spans="2:26" ht="11.25" customHeight="1" x14ac:dyDescent="0.15">
      <c r="B3" s="97" t="s">
        <v>7</v>
      </c>
      <c r="C3" s="158" t="s">
        <v>362</v>
      </c>
      <c r="D3" s="159"/>
      <c r="E3" s="159"/>
      <c r="F3" s="159"/>
      <c r="G3" s="159"/>
      <c r="H3" s="159"/>
      <c r="I3" s="159"/>
      <c r="J3" s="159"/>
      <c r="K3" s="159"/>
      <c r="L3" s="159"/>
      <c r="M3" s="159"/>
      <c r="N3" s="159"/>
      <c r="O3" s="124"/>
      <c r="V3" s="124"/>
    </row>
    <row r="4" spans="2:26" ht="4.3499999999999996" customHeight="1" x14ac:dyDescent="0.2">
      <c r="B4" s="124"/>
      <c r="C4" s="148"/>
      <c r="D4" s="45"/>
      <c r="E4" s="45"/>
      <c r="F4" s="45"/>
      <c r="G4" s="45"/>
      <c r="H4" s="45"/>
      <c r="I4" s="45"/>
      <c r="J4" s="45"/>
      <c r="K4" s="45"/>
      <c r="L4" s="45"/>
      <c r="M4" s="45"/>
      <c r="N4" s="45"/>
      <c r="O4" s="124"/>
      <c r="V4" s="124"/>
    </row>
    <row r="5" spans="2:26" ht="12.75" customHeight="1" x14ac:dyDescent="0.2">
      <c r="B5" s="124"/>
      <c r="C5" s="38" t="s">
        <v>37</v>
      </c>
      <c r="D5" s="45"/>
      <c r="E5" s="45"/>
      <c r="F5" s="45"/>
      <c r="G5" s="165" t="s">
        <v>137</v>
      </c>
      <c r="H5" s="166" t="s">
        <v>363</v>
      </c>
      <c r="I5" s="166"/>
      <c r="J5" s="166"/>
      <c r="K5" s="166"/>
      <c r="L5" s="373"/>
      <c r="M5" s="391" t="s">
        <v>364</v>
      </c>
      <c r="N5" s="392" t="str">
        <f>"'"&amp;RIGHT(H6,2)&amp;" - '"&amp;RIGHT(L6,2)</f>
        <v>'26 - '30</v>
      </c>
      <c r="O5" s="295"/>
      <c r="V5" s="124"/>
      <c r="W5" s="302"/>
      <c r="X5" s="124"/>
      <c r="Y5" s="124"/>
      <c r="Z5" s="124"/>
    </row>
    <row r="6" spans="2:26" ht="12.75" customHeight="1" x14ac:dyDescent="0.2">
      <c r="B6" s="124"/>
      <c r="C6" s="148"/>
      <c r="D6" s="45"/>
      <c r="E6" s="45"/>
      <c r="F6" s="144"/>
      <c r="G6" s="164" t="str">
        <f>'Cash Flow Assumptions'!N$10</f>
        <v>FY'25</v>
      </c>
      <c r="H6" s="164" t="str">
        <f>'Cash Flow Assumptions'!O$10</f>
        <v>FY'26</v>
      </c>
      <c r="I6" s="164" t="str">
        <f>'Cash Flow Assumptions'!P$10</f>
        <v>FY'27</v>
      </c>
      <c r="J6" s="164" t="str">
        <f>'Cash Flow Assumptions'!Q$10</f>
        <v>FY'28</v>
      </c>
      <c r="K6" s="164" t="str">
        <f>'Cash Flow Assumptions'!R$10</f>
        <v>FY'29</v>
      </c>
      <c r="L6" s="374" t="str">
        <f>'Cash Flow Assumptions'!S$10</f>
        <v>FY'30</v>
      </c>
      <c r="M6" s="375" t="s">
        <v>365</v>
      </c>
      <c r="N6" s="376" t="s">
        <v>366</v>
      </c>
      <c r="O6" s="124"/>
      <c r="P6" s="19" t="s">
        <v>367</v>
      </c>
      <c r="Q6" s="124"/>
      <c r="R6" s="124"/>
      <c r="S6" s="124"/>
      <c r="T6" s="124"/>
      <c r="U6" s="124"/>
      <c r="V6" s="124"/>
      <c r="W6" s="124"/>
      <c r="X6" s="124"/>
      <c r="Y6" s="124"/>
      <c r="Z6" s="124"/>
    </row>
    <row r="7" spans="2:26" ht="12.75" customHeight="1" x14ac:dyDescent="0.2">
      <c r="B7" s="124"/>
      <c r="C7" s="148" t="s">
        <v>368</v>
      </c>
      <c r="D7" s="45"/>
      <c r="E7" s="45"/>
      <c r="F7" s="45"/>
      <c r="G7" s="362">
        <f>'Operating Model Output'!F6</f>
        <v>167.08600000000001</v>
      </c>
      <c r="H7" s="362">
        <f ca="1">'Operating Model Output'!G6</f>
        <v>193.71044775783929</v>
      </c>
      <c r="I7" s="362">
        <f ca="1">'Operating Model Output'!H6</f>
        <v>233.74219810666941</v>
      </c>
      <c r="J7" s="362">
        <f ca="1">'Operating Model Output'!I6</f>
        <v>298.4383031315387</v>
      </c>
      <c r="K7" s="362">
        <f ca="1">'Operating Model Output'!J6</f>
        <v>319.23730183785142</v>
      </c>
      <c r="L7" s="362">
        <f ca="1">'Operating Model Output'!K6</f>
        <v>342.80113621428711</v>
      </c>
      <c r="M7" s="377">
        <f ca="1">L7</f>
        <v>342.80113621428711</v>
      </c>
      <c r="N7" s="379">
        <f ca="1">($L7/$H7)^(1/($P$7-1))-1</f>
        <v>0.15337969619885805</v>
      </c>
      <c r="O7" s="124"/>
      <c r="P7" s="481">
        <f ca="1">Assumptions!D34</f>
        <v>5</v>
      </c>
      <c r="Q7" s="124"/>
      <c r="R7" s="124"/>
      <c r="S7" s="124"/>
      <c r="T7" s="124"/>
      <c r="U7" s="124"/>
      <c r="V7" s="124"/>
      <c r="W7" s="124"/>
      <c r="X7" s="124"/>
      <c r="Y7" s="124"/>
      <c r="Z7" s="124"/>
    </row>
    <row r="8" spans="2:26" ht="12.75" customHeight="1" x14ac:dyDescent="0.2">
      <c r="B8" s="124"/>
      <c r="C8" s="167" t="s">
        <v>369</v>
      </c>
      <c r="D8" s="45"/>
      <c r="E8" s="45"/>
      <c r="F8" s="45"/>
      <c r="G8" s="369" t="str">
        <f>IFERROR(G7/F7-1,"n.a")</f>
        <v>n.a</v>
      </c>
      <c r="H8" s="536">
        <f t="shared" ref="H8:L8" ca="1" si="0">IFERROR(H7/G7-1,"n.a")</f>
        <v>0.15934577258321636</v>
      </c>
      <c r="I8" s="536">
        <f t="shared" ca="1" si="0"/>
        <v>0.20665767289369175</v>
      </c>
      <c r="J8" s="536">
        <f t="shared" ca="1" si="0"/>
        <v>0.27678401909844674</v>
      </c>
      <c r="K8" s="536">
        <f t="shared" ca="1" si="0"/>
        <v>6.9692792406561122E-2</v>
      </c>
      <c r="L8" s="536">
        <f t="shared" ca="1" si="0"/>
        <v>7.3812910461210191E-2</v>
      </c>
      <c r="M8" s="387"/>
      <c r="N8" s="538"/>
      <c r="O8" s="124"/>
      <c r="P8" s="124"/>
      <c r="Q8" s="124"/>
      <c r="R8" s="124"/>
      <c r="S8" s="124"/>
      <c r="T8" s="124"/>
      <c r="U8" s="124"/>
      <c r="V8" s="124"/>
      <c r="W8" s="124"/>
      <c r="X8" s="124"/>
      <c r="Y8" s="124"/>
      <c r="Z8" s="124"/>
    </row>
    <row r="9" spans="2:26" ht="4.3499999999999996" customHeight="1" x14ac:dyDescent="0.2">
      <c r="B9" s="124"/>
      <c r="C9" s="151"/>
      <c r="D9" s="45"/>
      <c r="E9" s="45"/>
      <c r="F9" s="45"/>
      <c r="G9" s="362"/>
      <c r="H9" s="369"/>
      <c r="I9" s="369"/>
      <c r="J9" s="369"/>
      <c r="K9" s="369"/>
      <c r="L9" s="369"/>
      <c r="M9" s="377"/>
      <c r="N9" s="378"/>
      <c r="O9" s="124"/>
      <c r="P9" s="124"/>
      <c r="Q9" s="124"/>
      <c r="R9" s="124"/>
      <c r="S9" s="124"/>
      <c r="T9" s="124"/>
      <c r="U9" s="124"/>
      <c r="V9" s="124"/>
      <c r="W9" s="124"/>
      <c r="X9" s="124"/>
      <c r="Y9" s="124"/>
      <c r="Z9" s="124"/>
    </row>
    <row r="10" spans="2:26" ht="12.75" customHeight="1" x14ac:dyDescent="0.2">
      <c r="B10" s="124"/>
      <c r="C10" s="148" t="s">
        <v>146</v>
      </c>
      <c r="D10" s="45"/>
      <c r="E10" s="45"/>
      <c r="F10" s="45"/>
      <c r="G10" s="362">
        <f>'Operating Model Output'!F7</f>
        <v>123.471</v>
      </c>
      <c r="H10" s="362">
        <f ca="1">'Operating Model Output'!G7</f>
        <v>126.75070575754542</v>
      </c>
      <c r="I10" s="362">
        <f ca="1">'Operating Model Output'!H7</f>
        <v>130.11752889371476</v>
      </c>
      <c r="J10" s="362">
        <f ca="1">'Operating Model Output'!I7</f>
        <v>133.57378346904255</v>
      </c>
      <c r="K10" s="362">
        <f ca="1">'Operating Model Output'!J7</f>
        <v>137.12184501143344</v>
      </c>
      <c r="L10" s="362">
        <f ca="1">'Operating Model Output'!K7</f>
        <v>140.76415214889283</v>
      </c>
      <c r="M10" s="377">
        <f ca="1">L10</f>
        <v>140.76415214889283</v>
      </c>
      <c r="N10" s="379">
        <f ca="1">($L10/$H10)^(1/($P$7-1))-1</f>
        <v>2.6562559285544074E-2</v>
      </c>
      <c r="O10" s="124"/>
      <c r="P10" s="124"/>
      <c r="Q10" s="124"/>
      <c r="R10" s="124"/>
      <c r="S10" s="124"/>
      <c r="T10" s="124"/>
      <c r="U10" s="124"/>
      <c r="V10" s="124"/>
      <c r="W10" s="124"/>
      <c r="X10" s="124"/>
      <c r="Y10" s="124"/>
      <c r="Z10" s="124"/>
    </row>
    <row r="11" spans="2:26" ht="12.75" customHeight="1" x14ac:dyDescent="0.2">
      <c r="B11" s="124"/>
      <c r="C11" s="167" t="s">
        <v>369</v>
      </c>
      <c r="D11" s="152"/>
      <c r="E11" s="152"/>
      <c r="F11" s="152"/>
      <c r="G11" s="369" t="str">
        <f>IFERROR(G10/F10-1,"n.a")</f>
        <v>n.a</v>
      </c>
      <c r="H11" s="536">
        <f t="shared" ref="H11" ca="1" si="1">IFERROR(H10/G10-1,"n.a")</f>
        <v>2.6562559285544074E-2</v>
      </c>
      <c r="I11" s="536">
        <f t="shared" ref="I11" ca="1" si="2">IFERROR(I10/H10-1,"n.a")</f>
        <v>2.6562559285544074E-2</v>
      </c>
      <c r="J11" s="536">
        <f t="shared" ref="J11" ca="1" si="3">IFERROR(J10/I10-1,"n.a")</f>
        <v>2.6562559285544074E-2</v>
      </c>
      <c r="K11" s="536">
        <f t="shared" ref="K11" ca="1" si="4">IFERROR(K10/J10-1,"n.a")</f>
        <v>2.6562559285544074E-2</v>
      </c>
      <c r="L11" s="536">
        <f t="shared" ref="L11" ca="1" si="5">IFERROR(L10/K10-1,"n.a")</f>
        <v>2.6562559285544074E-2</v>
      </c>
      <c r="M11" s="387"/>
      <c r="N11" s="537"/>
      <c r="O11" s="124"/>
      <c r="P11" s="124"/>
      <c r="Q11" s="124"/>
      <c r="R11" s="124"/>
      <c r="S11" s="124"/>
      <c r="T11" s="124"/>
      <c r="U11" s="124"/>
      <c r="V11" s="124"/>
      <c r="W11" s="124"/>
      <c r="X11" s="124"/>
      <c r="Y11" s="124"/>
      <c r="Z11" s="124"/>
    </row>
    <row r="12" spans="2:26" ht="4.3499999999999996" customHeight="1" x14ac:dyDescent="0.2">
      <c r="B12" s="124"/>
      <c r="C12" s="151"/>
      <c r="D12" s="152"/>
      <c r="E12" s="152"/>
      <c r="F12" s="152"/>
      <c r="G12" s="366"/>
      <c r="H12" s="366"/>
      <c r="I12" s="366"/>
      <c r="J12" s="366"/>
      <c r="K12" s="366"/>
      <c r="L12" s="366"/>
      <c r="M12" s="381"/>
      <c r="N12" s="382"/>
      <c r="O12" s="124"/>
      <c r="P12" s="124"/>
      <c r="Q12" s="124"/>
      <c r="R12" s="124"/>
      <c r="S12" s="124"/>
      <c r="T12" s="124"/>
      <c r="U12" s="124"/>
      <c r="V12" s="124"/>
      <c r="W12" s="124"/>
      <c r="X12" s="124"/>
      <c r="Y12" s="124"/>
      <c r="Z12" s="124"/>
    </row>
    <row r="13" spans="2:26" ht="12.75" customHeight="1" x14ac:dyDescent="0.2">
      <c r="B13" s="124"/>
      <c r="C13" s="155" t="s">
        <v>139</v>
      </c>
      <c r="D13" s="132"/>
      <c r="E13" s="132"/>
      <c r="F13" s="132"/>
      <c r="G13" s="367">
        <f>'Operating Model Output'!F8</f>
        <v>290.55700000000002</v>
      </c>
      <c r="H13" s="367">
        <f ca="1">'Operating Model Output'!G8</f>
        <v>320.46115351538469</v>
      </c>
      <c r="I13" s="367">
        <f ca="1">'Operating Model Output'!H8</f>
        <v>363.85972700038417</v>
      </c>
      <c r="J13" s="367">
        <f ca="1">'Operating Model Output'!I8</f>
        <v>432.01208660058126</v>
      </c>
      <c r="K13" s="367">
        <f ca="1">'Operating Model Output'!J8</f>
        <v>456.35914684928485</v>
      </c>
      <c r="L13" s="367">
        <f ca="1">'Operating Model Output'!K8</f>
        <v>483.56528836317995</v>
      </c>
      <c r="M13" s="383">
        <f ca="1">L13</f>
        <v>483.56528836317995</v>
      </c>
      <c r="N13" s="384">
        <f ca="1">($L13/$H13)^(1/($P$7-1))-1</f>
        <v>0.10833215121140038</v>
      </c>
      <c r="O13" s="124"/>
      <c r="P13" s="124"/>
      <c r="Q13" s="124"/>
      <c r="R13" s="124"/>
      <c r="S13" s="124"/>
      <c r="T13" s="124"/>
      <c r="U13" s="124"/>
      <c r="V13" s="124"/>
      <c r="W13" s="124"/>
      <c r="X13" s="124"/>
      <c r="Y13" s="124"/>
      <c r="Z13" s="124"/>
    </row>
    <row r="14" spans="2:26" ht="12.75" customHeight="1" x14ac:dyDescent="0.2">
      <c r="B14" s="124"/>
      <c r="C14" s="167" t="s">
        <v>369</v>
      </c>
      <c r="D14" s="45"/>
      <c r="E14" s="45"/>
      <c r="F14" s="45"/>
      <c r="G14" s="362" t="str">
        <f>IFERROR(G13/F13-1,"n.a")</f>
        <v>n.a</v>
      </c>
      <c r="H14" s="514">
        <f t="shared" ref="H14" ca="1" si="6">IFERROR(H13/G13-1,"n.a")</f>
        <v>0.10292009318441719</v>
      </c>
      <c r="I14" s="514">
        <f t="shared" ref="I14" ca="1" si="7">IFERROR(I13/H13-1,"n.a")</f>
        <v>0.13542537998421067</v>
      </c>
      <c r="J14" s="514">
        <f t="shared" ref="J14" ca="1" si="8">IFERROR(J13/I13-1,"n.a")</f>
        <v>0.18730393759715303</v>
      </c>
      <c r="K14" s="514">
        <f t="shared" ref="K14" ca="1" si="9">IFERROR(K13/J13-1,"n.a")</f>
        <v>5.6357358981055095E-2</v>
      </c>
      <c r="L14" s="514">
        <f t="shared" ref="L14" ca="1" si="10">IFERROR(L13/K13-1,"n.a")</f>
        <v>5.9615637599743421E-2</v>
      </c>
      <c r="M14" s="377"/>
      <c r="N14" s="378"/>
      <c r="O14" s="124"/>
      <c r="P14" s="124"/>
      <c r="Q14" s="124"/>
      <c r="R14" s="124"/>
      <c r="S14" s="124"/>
      <c r="T14" s="124"/>
      <c r="U14" s="124"/>
      <c r="V14" s="124"/>
      <c r="W14" s="124"/>
      <c r="X14" s="124"/>
      <c r="Y14" s="124"/>
      <c r="Z14" s="124"/>
    </row>
    <row r="15" spans="2:26" ht="4.3499999999999996" customHeight="1" x14ac:dyDescent="0.2">
      <c r="B15" s="124"/>
      <c r="C15" s="167"/>
      <c r="D15" s="45"/>
      <c r="E15" s="45"/>
      <c r="F15" s="45"/>
      <c r="G15" s="362"/>
      <c r="H15" s="362"/>
      <c r="I15" s="362"/>
      <c r="J15" s="362"/>
      <c r="K15" s="362"/>
      <c r="L15" s="362"/>
      <c r="M15" s="377"/>
      <c r="N15" s="378"/>
      <c r="O15" s="124"/>
      <c r="P15" s="124"/>
      <c r="Q15" s="124"/>
      <c r="R15" s="124"/>
      <c r="S15" s="124"/>
      <c r="T15" s="124"/>
      <c r="U15" s="124"/>
      <c r="V15" s="124"/>
      <c r="W15" s="124"/>
      <c r="X15" s="124"/>
      <c r="Y15" s="124"/>
      <c r="Z15" s="124"/>
    </row>
    <row r="16" spans="2:26" ht="12.75" customHeight="1" x14ac:dyDescent="0.2">
      <c r="B16" s="124"/>
      <c r="C16" s="148" t="s">
        <v>370</v>
      </c>
      <c r="D16" s="45"/>
      <c r="E16" s="45"/>
      <c r="F16" s="45"/>
      <c r="G16" s="362">
        <f>SUM('Operating Model Output'!F12:F14)</f>
        <v>-183.37299999999999</v>
      </c>
      <c r="H16" s="362">
        <f ca="1">SUM('Operating Model Output'!G12:G14)</f>
        <v>-201.78197309091857</v>
      </c>
      <c r="I16" s="362">
        <f ca="1">SUM('Operating Model Output'!H12:H14)</f>
        <v>-218.87663448236432</v>
      </c>
      <c r="J16" s="362">
        <f ca="1">SUM('Operating Model Output'!I12:I14)</f>
        <v>-245.99526054353933</v>
      </c>
      <c r="K16" s="362">
        <f ca="1">SUM('Operating Model Output'!J12:J14)</f>
        <v>-250.14220337948768</v>
      </c>
      <c r="L16" s="362">
        <f ca="1">SUM('Operating Model Output'!K12:K14)</f>
        <v>-254.68798765213333</v>
      </c>
      <c r="M16" s="377"/>
      <c r="N16" s="378"/>
      <c r="O16" s="124"/>
      <c r="P16" s="124"/>
      <c r="Q16" s="124"/>
      <c r="R16" s="124"/>
      <c r="S16" s="124"/>
      <c r="T16" s="124"/>
      <c r="U16" s="124"/>
      <c r="V16" s="124"/>
      <c r="W16" s="124"/>
      <c r="X16" s="124"/>
      <c r="Y16" s="124"/>
      <c r="Z16" s="124"/>
    </row>
    <row r="17" spans="2:26" ht="12.75" customHeight="1" x14ac:dyDescent="0.2">
      <c r="B17" s="124"/>
      <c r="C17" s="167" t="s">
        <v>369</v>
      </c>
      <c r="D17" s="45"/>
      <c r="E17" s="45"/>
      <c r="F17" s="45"/>
      <c r="G17" s="369" t="str">
        <f>IFERROR(G16/F16-1,"n.a")</f>
        <v>n.a</v>
      </c>
      <c r="H17" s="536">
        <f t="shared" ref="H17" ca="1" si="11">IFERROR(H16/G16-1,"n.a")</f>
        <v>0.10039085956448646</v>
      </c>
      <c r="I17" s="536">
        <f t="shared" ref="I17" ca="1" si="12">IFERROR(I16/H16-1,"n.a")</f>
        <v>8.4718476728063763E-2</v>
      </c>
      <c r="J17" s="536">
        <f t="shared" ref="J17" ca="1" si="13">IFERROR(J16/I16-1,"n.a")</f>
        <v>0.12389913672288322</v>
      </c>
      <c r="K17" s="536">
        <f t="shared" ref="K17" ca="1" si="14">IFERROR(K16/J16-1,"n.a")</f>
        <v>1.68578159871271E-2</v>
      </c>
      <c r="L17" s="536">
        <f t="shared" ref="L17" ca="1" si="15">IFERROR(L16/K16-1,"n.a")</f>
        <v>1.8172800156194713E-2</v>
      </c>
      <c r="M17" s="387"/>
      <c r="N17" s="538"/>
      <c r="O17" s="124"/>
      <c r="P17" s="124"/>
      <c r="Q17" s="124"/>
      <c r="R17" s="124"/>
      <c r="S17" s="124"/>
      <c r="T17" s="124"/>
      <c r="U17" s="124"/>
      <c r="V17" s="124"/>
      <c r="W17" s="124"/>
      <c r="X17" s="124"/>
      <c r="Y17" s="124"/>
      <c r="Z17" s="124"/>
    </row>
    <row r="18" spans="2:26" ht="4.3499999999999996" customHeight="1" x14ac:dyDescent="0.2">
      <c r="B18" s="124"/>
      <c r="C18" s="151"/>
      <c r="D18" s="45"/>
      <c r="E18" s="45"/>
      <c r="F18" s="45"/>
      <c r="G18" s="365"/>
      <c r="H18" s="365"/>
      <c r="I18" s="365"/>
      <c r="J18" s="365"/>
      <c r="K18" s="365"/>
      <c r="L18" s="365"/>
      <c r="M18" s="385"/>
      <c r="N18" s="331"/>
      <c r="O18" s="124"/>
      <c r="P18" s="124"/>
      <c r="Q18" s="124"/>
      <c r="R18" s="124"/>
      <c r="S18" s="124"/>
      <c r="T18" s="124"/>
      <c r="U18" s="124"/>
      <c r="V18" s="124"/>
      <c r="W18" s="124"/>
      <c r="X18" s="124"/>
      <c r="Y18" s="124"/>
      <c r="Z18" s="124"/>
    </row>
    <row r="19" spans="2:26" ht="12.75" customHeight="1" x14ac:dyDescent="0.2">
      <c r="B19" s="124"/>
      <c r="C19" s="155" t="s">
        <v>227</v>
      </c>
      <c r="D19" s="132"/>
      <c r="E19" s="132"/>
      <c r="F19" s="132"/>
      <c r="G19" s="367">
        <f ca="1">'Operating Model Output'!F20</f>
        <v>40.499828661000002</v>
      </c>
      <c r="H19" s="367">
        <f ca="1">'Operating Model Output'!G20</f>
        <v>45.149083739719359</v>
      </c>
      <c r="I19" s="367">
        <f ca="1">'Operating Model Output'!H20</f>
        <v>59.378422910105691</v>
      </c>
      <c r="J19" s="367">
        <f ca="1">'Operating Model Output'!I20</f>
        <v>81.347801036364274</v>
      </c>
      <c r="K19" s="367">
        <f ca="1">'Operating Model Output'!J20</f>
        <v>94.453125557540631</v>
      </c>
      <c r="L19" s="367">
        <f ca="1">'Operating Model Output'!K20</f>
        <v>108.97044312091083</v>
      </c>
      <c r="M19" s="383">
        <f ca="1">L19</f>
        <v>108.97044312091083</v>
      </c>
      <c r="N19" s="384">
        <f ca="1">($L19/$H19)^(1/($P$7-1))-1</f>
        <v>0.24642153515140652</v>
      </c>
      <c r="O19" s="124"/>
      <c r="P19" s="124"/>
      <c r="Q19" s="124"/>
      <c r="R19" s="124"/>
      <c r="S19" s="124"/>
      <c r="T19" s="124"/>
      <c r="U19" s="124"/>
      <c r="V19" s="124"/>
      <c r="W19" s="124"/>
      <c r="X19" s="124"/>
      <c r="Y19" s="124"/>
      <c r="Z19" s="124"/>
    </row>
    <row r="20" spans="2:26" ht="12.75" customHeight="1" x14ac:dyDescent="0.2">
      <c r="B20" s="124"/>
      <c r="C20" s="167" t="s">
        <v>371</v>
      </c>
      <c r="D20" s="45"/>
      <c r="E20" s="45"/>
      <c r="F20" s="45"/>
      <c r="G20" s="536">
        <f ca="1">IFERROR(G19/G13,"n.a")</f>
        <v>0.13938686268443026</v>
      </c>
      <c r="H20" s="536">
        <f t="shared" ref="H20:L20" ca="1" si="16">IFERROR(H19/H13,"n.a")</f>
        <v>0.14088785253514929</v>
      </c>
      <c r="I20" s="536">
        <f t="shared" ca="1" si="16"/>
        <v>0.16319042340743306</v>
      </c>
      <c r="J20" s="536">
        <f t="shared" ca="1" si="16"/>
        <v>0.18829982669344794</v>
      </c>
      <c r="K20" s="536">
        <f t="shared" ca="1" si="16"/>
        <v>0.20697103632007249</v>
      </c>
      <c r="L20" s="536">
        <f t="shared" ca="1" si="16"/>
        <v>0.2253479431697111</v>
      </c>
      <c r="M20" s="387"/>
      <c r="N20" s="538"/>
      <c r="O20" s="124"/>
      <c r="P20" s="124"/>
      <c r="Q20" s="124"/>
      <c r="R20" s="124"/>
      <c r="S20" s="124"/>
      <c r="T20" s="124"/>
      <c r="U20" s="124"/>
      <c r="V20" s="124"/>
      <c r="W20" s="124"/>
      <c r="X20" s="124"/>
      <c r="Y20" s="124"/>
      <c r="Z20" s="124"/>
    </row>
    <row r="21" spans="2:26" ht="4.3499999999999996" customHeight="1" x14ac:dyDescent="0.2">
      <c r="B21" s="124"/>
      <c r="C21" s="156"/>
      <c r="D21" s="152"/>
      <c r="E21" s="152"/>
      <c r="F21" s="152"/>
      <c r="G21" s="370"/>
      <c r="H21" s="370"/>
      <c r="I21" s="370"/>
      <c r="J21" s="370"/>
      <c r="K21" s="370"/>
      <c r="L21" s="370"/>
      <c r="M21" s="386"/>
      <c r="N21" s="380"/>
      <c r="O21" s="124"/>
      <c r="P21" s="124"/>
      <c r="Q21" s="124"/>
      <c r="R21" s="124"/>
      <c r="S21" s="124"/>
      <c r="T21" s="124"/>
      <c r="U21" s="124"/>
      <c r="V21" s="124"/>
      <c r="W21" s="124"/>
      <c r="X21" s="124"/>
      <c r="Y21" s="124"/>
      <c r="Z21" s="124"/>
    </row>
    <row r="22" spans="2:26" ht="12.75" customHeight="1" x14ac:dyDescent="0.2">
      <c r="B22" s="124"/>
      <c r="C22" s="148" t="s">
        <v>355</v>
      </c>
      <c r="D22" s="45"/>
      <c r="E22" s="45"/>
      <c r="F22" s="45"/>
      <c r="G22" s="369">
        <f>'Operating Model Output'!F21</f>
        <v>14.859</v>
      </c>
      <c r="H22" s="369">
        <f ca="1">'Operating Model Output'!G21</f>
        <v>16.388289664627255</v>
      </c>
      <c r="I22" s="369">
        <f ca="1">'Operating Model Output'!H21</f>
        <v>18.607680019750713</v>
      </c>
      <c r="J22" s="369">
        <f ca="1">'Operating Model Output'!I21</f>
        <v>22.092971756997891</v>
      </c>
      <c r="K22" s="369">
        <f ca="1">'Operating Model Output'!J21</f>
        <v>23.338073297265332</v>
      </c>
      <c r="L22" s="369">
        <f ca="1">'Operating Model Output'!K21</f>
        <v>24.729387417231354</v>
      </c>
      <c r="M22" s="387"/>
      <c r="N22" s="379"/>
      <c r="O22" s="124"/>
      <c r="P22" s="124"/>
      <c r="Q22" s="124"/>
      <c r="R22" s="124"/>
      <c r="S22" s="124"/>
      <c r="T22" s="124"/>
      <c r="U22" s="124"/>
      <c r="V22" s="124"/>
      <c r="W22" s="124"/>
      <c r="X22" s="124"/>
      <c r="Y22" s="124"/>
      <c r="Z22" s="124"/>
    </row>
    <row r="23" spans="2:26" ht="12.75" customHeight="1" x14ac:dyDescent="0.2">
      <c r="B23" s="124"/>
      <c r="C23" s="148" t="s">
        <v>356</v>
      </c>
      <c r="D23" s="45"/>
      <c r="E23" s="45"/>
      <c r="F23" s="45"/>
      <c r="G23" s="369">
        <f>'Operating Model Output'!F22</f>
        <v>1.341</v>
      </c>
      <c r="H23" s="362">
        <f>'Operating Model Output'!G22</f>
        <v>2.4729999999999999</v>
      </c>
      <c r="I23" s="362">
        <f>'Operating Model Output'!H22</f>
        <v>3.2789999999999999</v>
      </c>
      <c r="J23" s="362">
        <f>'Operating Model Output'!I22</f>
        <v>3.2789999999999999</v>
      </c>
      <c r="K23" s="362">
        <f>'Operating Model Output'!J22</f>
        <v>3.1970000000000001</v>
      </c>
      <c r="L23" s="362">
        <f>'Operating Model Output'!K22</f>
        <v>2.0249999999999999</v>
      </c>
      <c r="M23" s="377"/>
      <c r="N23" s="379"/>
      <c r="O23" s="124"/>
      <c r="P23" s="124"/>
      <c r="Q23" s="124"/>
      <c r="R23" s="124"/>
      <c r="S23" s="124"/>
      <c r="T23" s="124"/>
      <c r="U23" s="124"/>
      <c r="V23" s="124"/>
      <c r="W23" s="124"/>
      <c r="X23" s="124"/>
      <c r="Y23" s="124"/>
      <c r="Z23" s="124"/>
    </row>
    <row r="24" spans="2:26" ht="12.75" customHeight="1" x14ac:dyDescent="0.2">
      <c r="B24" s="124"/>
      <c r="C24" s="148" t="s">
        <v>357</v>
      </c>
      <c r="D24" s="45"/>
      <c r="E24" s="45"/>
      <c r="F24" s="45"/>
      <c r="G24" s="369">
        <f>'Operating Model Output'!F23</f>
        <v>-20.128</v>
      </c>
      <c r="H24" s="362">
        <f ca="1">'Operating Model Output'!G23</f>
        <v>-20.597269868039024</v>
      </c>
      <c r="I24" s="362">
        <f ca="1">'Operating Model Output'!H23</f>
        <v>-21.567364331553623</v>
      </c>
      <c r="J24" s="362">
        <f ca="1">'Operating Model Output'!I23</f>
        <v>-23.446956161443101</v>
      </c>
      <c r="K24" s="362">
        <f ca="1">'Operating Model Output'!J23</f>
        <v>-22.486568952600187</v>
      </c>
      <c r="L24" s="362">
        <f ca="1">'Operating Model Output'!K23</f>
        <v>-21.409293656324145</v>
      </c>
      <c r="M24" s="377"/>
      <c r="N24" s="379"/>
      <c r="O24" s="124"/>
      <c r="P24" s="124"/>
      <c r="Q24" s="124"/>
      <c r="S24" s="124"/>
      <c r="T24" s="124"/>
      <c r="U24" s="124"/>
      <c r="V24" s="124"/>
      <c r="W24" s="124"/>
      <c r="X24" s="124"/>
      <c r="Y24" s="124"/>
      <c r="Z24" s="124"/>
    </row>
    <row r="25" spans="2:26" ht="12.75" customHeight="1" x14ac:dyDescent="0.2">
      <c r="B25" s="124"/>
      <c r="C25" s="148" t="s">
        <v>358</v>
      </c>
      <c r="D25" s="45"/>
      <c r="E25" s="45"/>
      <c r="F25" s="45"/>
      <c r="G25" s="369">
        <f>'Operating Model Output'!F24</f>
        <v>23.706000000000003</v>
      </c>
      <c r="H25" s="362">
        <f ca="1">'Operating Model Output'!G24</f>
        <v>1.9929943917048547</v>
      </c>
      <c r="I25" s="362">
        <f ca="1">'Operating Model Output'!H24</f>
        <v>4.4229038354414172</v>
      </c>
      <c r="J25" s="362">
        <f ca="1">'Operating Model Output'!I24</f>
        <v>8.5270261975639983</v>
      </c>
      <c r="K25" s="362">
        <f ca="1">'Operating Model Output'!J24</f>
        <v>3.9800100960360965</v>
      </c>
      <c r="L25" s="362">
        <f ca="1">'Operating Model Output'!K24</f>
        <v>4.8902447436039154</v>
      </c>
      <c r="M25" s="377"/>
      <c r="N25" s="379"/>
      <c r="O25" s="124"/>
      <c r="P25" s="124"/>
      <c r="Q25" s="124"/>
      <c r="R25" s="124"/>
      <c r="S25" s="124"/>
      <c r="T25" s="124"/>
      <c r="U25" s="124"/>
      <c r="V25" s="124"/>
      <c r="W25" s="124"/>
      <c r="X25" s="124"/>
      <c r="Y25" s="124"/>
      <c r="Z25" s="124"/>
    </row>
    <row r="26" spans="2:26" ht="12.75" customHeight="1" x14ac:dyDescent="0.2">
      <c r="B26" s="124"/>
      <c r="C26" s="148" t="s">
        <v>359</v>
      </c>
      <c r="D26" s="45"/>
      <c r="E26" s="45"/>
      <c r="F26" s="45"/>
      <c r="G26" s="369">
        <f>'Operating Model Output'!F25</f>
        <v>0</v>
      </c>
      <c r="H26" s="362">
        <f>'Operating Model Output'!G25</f>
        <v>0</v>
      </c>
      <c r="I26" s="362">
        <f>'Operating Model Output'!H25</f>
        <v>0</v>
      </c>
      <c r="J26" s="362">
        <f>'Operating Model Output'!I25</f>
        <v>0</v>
      </c>
      <c r="K26" s="362">
        <f>'Operating Model Output'!J25</f>
        <v>0</v>
      </c>
      <c r="L26" s="362">
        <f>'Operating Model Output'!K25</f>
        <v>0</v>
      </c>
      <c r="M26" s="377"/>
      <c r="N26" s="379"/>
      <c r="O26" s="124"/>
      <c r="P26" s="124"/>
      <c r="Q26" s="124"/>
      <c r="R26" s="124"/>
      <c r="S26" s="124"/>
      <c r="T26" s="124"/>
      <c r="U26" s="124"/>
      <c r="V26" s="124"/>
      <c r="W26" s="124"/>
      <c r="X26" s="124"/>
      <c r="Y26" s="124"/>
      <c r="Z26" s="124"/>
    </row>
    <row r="27" spans="2:26" ht="12.75" customHeight="1" x14ac:dyDescent="0.2">
      <c r="B27" s="124"/>
      <c r="C27" s="157" t="s">
        <v>360</v>
      </c>
      <c r="D27" s="130"/>
      <c r="E27" s="130"/>
      <c r="F27" s="130"/>
      <c r="G27" s="368">
        <f ca="1">'Operating Model Output'!F26</f>
        <v>60.277828661000008</v>
      </c>
      <c r="H27" s="368">
        <f ca="1">'Operating Model Output'!G26</f>
        <v>45.406097928012443</v>
      </c>
      <c r="I27" s="368">
        <f ca="1">'Operating Model Output'!H26</f>
        <v>64.120642433744194</v>
      </c>
      <c r="J27" s="368">
        <f ca="1">'Operating Model Output'!I26</f>
        <v>91.799842829483055</v>
      </c>
      <c r="K27" s="368">
        <f ca="1">'Operating Model Output'!J26</f>
        <v>102.48163999824189</v>
      </c>
      <c r="L27" s="368">
        <f ca="1">'Operating Model Output'!K26</f>
        <v>119.20578162542196</v>
      </c>
      <c r="M27" s="388">
        <f ca="1">L27</f>
        <v>119.20578162542196</v>
      </c>
      <c r="N27" s="389">
        <f t="shared" ref="N27" ca="1" si="17">($L27/$H27)^(1/($P$7-1))-1</f>
        <v>0.27290439082017914</v>
      </c>
      <c r="O27" s="124"/>
      <c r="P27" s="124"/>
      <c r="Q27" s="124"/>
      <c r="R27" s="124"/>
      <c r="S27" s="124"/>
      <c r="T27" s="124"/>
      <c r="U27" s="124"/>
      <c r="V27" s="124"/>
      <c r="W27" s="124"/>
      <c r="X27" s="124"/>
      <c r="Y27" s="124"/>
      <c r="Z27" s="124"/>
    </row>
    <row r="28" spans="2:26" ht="12.75" customHeight="1" x14ac:dyDescent="0.2">
      <c r="B28" s="124"/>
      <c r="C28" s="168" t="s">
        <v>369</v>
      </c>
      <c r="D28" s="45"/>
      <c r="E28" s="45"/>
      <c r="F28" s="45"/>
      <c r="G28" s="369" t="str">
        <f ca="1">IFERROR(G27/F27,"n.a")</f>
        <v>n.a</v>
      </c>
      <c r="H28" s="536">
        <f ca="1">IFERROR(H27/G27-1,"n.a")</f>
        <v>-0.24671974859322754</v>
      </c>
      <c r="I28" s="536">
        <f ca="1">IFERROR(I27/H27-1,"n.a")</f>
        <v>0.41215927727157031</v>
      </c>
      <c r="J28" s="536">
        <f ca="1">IFERROR(J27/I27-1,"n.a")</f>
        <v>0.43167378468392226</v>
      </c>
      <c r="K28" s="536">
        <f ca="1">IFERROR(K27/J27-1,"n.a")</f>
        <v>0.11635964550179168</v>
      </c>
      <c r="L28" s="536">
        <f ca="1">IFERROR(L27/K27-1,"n.a")</f>
        <v>0.16319158853690263</v>
      </c>
      <c r="M28" s="385"/>
      <c r="N28" s="331"/>
      <c r="O28" s="124"/>
      <c r="P28" s="124"/>
      <c r="Q28" s="124"/>
      <c r="R28" s="124"/>
      <c r="S28" s="124"/>
      <c r="T28" s="124"/>
      <c r="U28" s="124"/>
      <c r="V28" s="124"/>
      <c r="W28" s="124"/>
      <c r="X28" s="124"/>
      <c r="Y28" s="124"/>
      <c r="Z28" s="124"/>
    </row>
    <row r="29" spans="2:26" ht="4.3499999999999996" customHeight="1" x14ac:dyDescent="0.2">
      <c r="B29" s="124"/>
      <c r="C29" s="168"/>
      <c r="D29" s="45"/>
      <c r="E29" s="45"/>
      <c r="F29" s="45"/>
      <c r="G29" s="362"/>
      <c r="H29" s="362"/>
      <c r="I29" s="362"/>
      <c r="J29" s="362"/>
      <c r="K29" s="362"/>
      <c r="L29" s="362"/>
      <c r="M29" s="385"/>
      <c r="N29" s="331"/>
      <c r="O29" s="124"/>
      <c r="P29" s="124"/>
      <c r="Q29" s="124"/>
      <c r="R29" s="124"/>
      <c r="S29" s="124"/>
      <c r="T29" s="124"/>
      <c r="U29" s="124"/>
      <c r="V29" s="124"/>
      <c r="W29" s="124"/>
      <c r="X29" s="124"/>
      <c r="Y29" s="124"/>
      <c r="Z29" s="124"/>
    </row>
    <row r="30" spans="2:26" ht="12.75" customHeight="1" x14ac:dyDescent="0.2">
      <c r="B30" s="124"/>
      <c r="C30" s="151" t="s">
        <v>361</v>
      </c>
      <c r="D30" s="117"/>
      <c r="E30" s="117"/>
      <c r="F30" s="117"/>
      <c r="G30" s="369">
        <f ca="1">'Operating Model Output'!F28</f>
        <v>60.277828661000008</v>
      </c>
      <c r="H30" s="369">
        <f ca="1">'Operating Model Output'!G28</f>
        <v>45.406097928012443</v>
      </c>
      <c r="I30" s="369">
        <f ca="1">'Operating Model Output'!H28</f>
        <v>64.120642433744194</v>
      </c>
      <c r="J30" s="369">
        <f ca="1">'Operating Model Output'!I28</f>
        <v>91.799842829483055</v>
      </c>
      <c r="K30" s="369">
        <f ca="1">'Operating Model Output'!J28</f>
        <v>102.48163999824189</v>
      </c>
      <c r="L30" s="369">
        <f ca="1">'Operating Model Output'!K28</f>
        <v>119.20578162542196</v>
      </c>
      <c r="M30" s="390">
        <f ca="1">L30</f>
        <v>119.20578162542196</v>
      </c>
      <c r="N30" s="539">
        <f ca="1">($L30/$H30)^(1/($P$7-1))-1</f>
        <v>0.27290439082017914</v>
      </c>
      <c r="O30" s="295"/>
      <c r="P30" s="124"/>
      <c r="Q30" s="124"/>
      <c r="R30" s="124"/>
      <c r="S30" s="124"/>
      <c r="T30" s="124"/>
      <c r="U30" s="124"/>
      <c r="V30" s="124"/>
      <c r="W30" s="124"/>
      <c r="X30" s="124"/>
      <c r="Y30" s="124"/>
      <c r="Z30" s="124"/>
    </row>
    <row r="31" spans="2:26" ht="12.75" customHeight="1" x14ac:dyDescent="0.2">
      <c r="B31" s="124"/>
      <c r="C31" s="199"/>
      <c r="D31" s="152"/>
      <c r="E31" s="152"/>
      <c r="F31" s="152"/>
      <c r="G31" s="153"/>
      <c r="H31" s="153"/>
      <c r="I31" s="153"/>
      <c r="J31" s="153"/>
      <c r="K31" s="153"/>
      <c r="L31" s="153"/>
      <c r="M31" s="153"/>
      <c r="N31" s="154"/>
      <c r="O31" s="295"/>
      <c r="P31" s="124"/>
      <c r="Q31" s="124"/>
      <c r="R31" s="124"/>
      <c r="S31" s="124"/>
      <c r="T31" s="124"/>
      <c r="U31" s="124"/>
      <c r="V31" s="124"/>
      <c r="W31" s="124"/>
      <c r="X31" s="124"/>
      <c r="Y31" s="124"/>
      <c r="Z31" s="124"/>
    </row>
    <row r="32" spans="2:26" ht="12.75" customHeight="1" x14ac:dyDescent="0.15">
      <c r="B32" s="97" t="s">
        <v>7</v>
      </c>
      <c r="C32" s="158" t="s">
        <v>372</v>
      </c>
      <c r="D32" s="159"/>
      <c r="E32" s="159"/>
      <c r="F32" s="159"/>
      <c r="G32" s="159"/>
      <c r="H32" s="159"/>
      <c r="I32" s="159"/>
      <c r="J32" s="159"/>
      <c r="K32" s="159"/>
      <c r="L32" s="159"/>
      <c r="M32" s="159"/>
      <c r="N32" s="159"/>
      <c r="O32" s="295"/>
      <c r="P32" s="124"/>
      <c r="Q32" s="124"/>
      <c r="R32" s="124"/>
      <c r="S32" s="124"/>
      <c r="T32" s="124"/>
      <c r="U32" s="124"/>
      <c r="V32" s="124"/>
      <c r="W32" s="124"/>
      <c r="X32" s="124"/>
      <c r="Y32" s="124"/>
      <c r="Z32" s="124"/>
    </row>
    <row r="33" spans="2:26" ht="4.3499999999999996" customHeight="1" x14ac:dyDescent="0.2">
      <c r="B33" s="124"/>
      <c r="C33" s="201"/>
      <c r="D33" s="307"/>
      <c r="E33" s="307"/>
      <c r="F33" s="307"/>
      <c r="G33" s="307"/>
      <c r="H33" s="307"/>
      <c r="I33" s="307"/>
      <c r="J33" s="307"/>
      <c r="K33" s="307"/>
      <c r="L33" s="307"/>
      <c r="M33" s="307"/>
      <c r="N33" s="307"/>
      <c r="O33" s="295"/>
      <c r="P33" s="124"/>
      <c r="Q33" s="124"/>
      <c r="R33" s="124"/>
      <c r="S33" s="124"/>
      <c r="T33" s="124"/>
      <c r="U33" s="124"/>
      <c r="V33" s="124"/>
      <c r="W33" s="124"/>
      <c r="X33" s="124"/>
      <c r="Y33" s="124"/>
      <c r="Z33" s="124"/>
    </row>
    <row r="34" spans="2:26" ht="9.9499999999999993" hidden="1" customHeight="1" outlineLevel="1" x14ac:dyDescent="0.2">
      <c r="B34" s="124"/>
      <c r="C34" s="201"/>
      <c r="D34" s="307"/>
      <c r="E34" s="307"/>
      <c r="F34" s="307"/>
      <c r="G34" s="307"/>
      <c r="H34" s="557">
        <f ca="1">Q36</f>
        <v>0.30684931506849317</v>
      </c>
      <c r="I34" s="557">
        <f ca="1">H34+$R$36</f>
        <v>1.3068493150684932</v>
      </c>
      <c r="J34" s="557">
        <f t="shared" ref="J34:L34" ca="1" si="18">I34+$R$36</f>
        <v>2.3068493150684932</v>
      </c>
      <c r="K34" s="557">
        <f t="shared" ca="1" si="18"/>
        <v>3.3068493150684932</v>
      </c>
      <c r="L34" s="557">
        <f t="shared" ca="1" si="18"/>
        <v>4.3068493150684937</v>
      </c>
      <c r="N34" s="307"/>
      <c r="O34" s="295"/>
      <c r="P34" s="124"/>
      <c r="Q34" s="124"/>
      <c r="R34" s="124"/>
      <c r="S34" s="124"/>
      <c r="T34" s="124"/>
      <c r="U34" s="124"/>
      <c r="V34" s="124"/>
      <c r="W34" s="124"/>
      <c r="X34" s="124"/>
      <c r="Y34" s="124"/>
      <c r="Z34" s="124"/>
    </row>
    <row r="35" spans="2:26" ht="12.75" customHeight="1" collapsed="1" x14ac:dyDescent="0.2">
      <c r="B35" s="124"/>
      <c r="C35" s="5"/>
      <c r="D35" s="5"/>
      <c r="E35" s="5"/>
      <c r="G35" s="313" t="s">
        <v>373</v>
      </c>
      <c r="H35" s="164" t="str">
        <f>'Cash Flow Assumptions'!O$10</f>
        <v>FY'26</v>
      </c>
      <c r="I35" s="164" t="str">
        <f>'Cash Flow Assumptions'!P$10</f>
        <v>FY'27</v>
      </c>
      <c r="J35" s="164" t="str">
        <f>'Cash Flow Assumptions'!Q$10</f>
        <v>FY'28</v>
      </c>
      <c r="K35" s="164" t="str">
        <f>'Cash Flow Assumptions'!R$10</f>
        <v>FY'29</v>
      </c>
      <c r="L35" s="164" t="str">
        <f>'Cash Flow Assumptions'!S$10</f>
        <v>FY'30</v>
      </c>
      <c r="M35"/>
      <c r="N35" s="150"/>
      <c r="O35" s="124"/>
      <c r="P35" s="19" t="s">
        <v>374</v>
      </c>
      <c r="Q35" s="19" t="s">
        <v>375</v>
      </c>
      <c r="R35" s="19" t="s">
        <v>34</v>
      </c>
      <c r="S35" s="124"/>
      <c r="T35" s="124"/>
      <c r="U35" s="124"/>
      <c r="V35" s="124"/>
      <c r="W35" s="124"/>
      <c r="X35" s="124"/>
      <c r="Y35" s="124"/>
      <c r="Z35" s="124"/>
    </row>
    <row r="36" spans="2:26" ht="12.75" customHeight="1" x14ac:dyDescent="0.2">
      <c r="B36" s="124"/>
      <c r="C36" s="8" t="s">
        <v>376</v>
      </c>
      <c r="D36" s="5"/>
      <c r="E36" s="5"/>
      <c r="G36" s="314"/>
      <c r="H36" s="318">
        <f ca="1">IF(P36=1,H34/2,H34)</f>
        <v>0.15342465753424658</v>
      </c>
      <c r="I36" s="319">
        <f ca="1">IF($P$36=1,$R$36/2+H34,I34)</f>
        <v>0.80684931506849322</v>
      </c>
      <c r="J36" s="319">
        <f t="shared" ref="J36:L36" ca="1" si="19">IF($P$36=1,$R$36/2+I34,J34)</f>
        <v>1.8068493150684932</v>
      </c>
      <c r="K36" s="319">
        <f t="shared" ca="1" si="19"/>
        <v>2.8068493150684932</v>
      </c>
      <c r="L36" s="319">
        <f t="shared" ca="1" si="19"/>
        <v>3.8068493150684932</v>
      </c>
      <c r="M36" s="161"/>
      <c r="N36" s="150"/>
      <c r="O36" s="124"/>
      <c r="P36" s="481">
        <f ca="1">Assumptions!D153</f>
        <v>1</v>
      </c>
      <c r="Q36" s="482">
        <f ca="1">Assumptions!D29</f>
        <v>0.30684931506849317</v>
      </c>
      <c r="R36" s="482">
        <f ca="1">Assumptions!D30</f>
        <v>1</v>
      </c>
      <c r="S36" s="124"/>
      <c r="T36" s="124"/>
      <c r="U36" s="124"/>
      <c r="V36" s="124"/>
      <c r="W36" s="124"/>
      <c r="X36" s="124"/>
      <c r="Y36" s="124"/>
      <c r="Z36" s="124"/>
    </row>
    <row r="37" spans="2:26" ht="12.75" customHeight="1" x14ac:dyDescent="0.2">
      <c r="B37" s="124"/>
      <c r="C37" s="8" t="s">
        <v>377</v>
      </c>
      <c r="D37" s="5"/>
      <c r="E37" s="5"/>
      <c r="G37" s="315"/>
      <c r="H37" s="320">
        <f ca="1">$S$43</f>
        <v>8.7875499340963198E-2</v>
      </c>
      <c r="I37" s="320">
        <f t="shared" ref="I37:L37" ca="1" si="20">$S$43</f>
        <v>8.7875499340963198E-2</v>
      </c>
      <c r="J37" s="320">
        <f t="shared" ca="1" si="20"/>
        <v>8.7875499340963198E-2</v>
      </c>
      <c r="K37" s="320">
        <f t="shared" ca="1" si="20"/>
        <v>8.7875499340963198E-2</v>
      </c>
      <c r="L37" s="320">
        <f t="shared" ca="1" si="20"/>
        <v>8.7875499340963198E-2</v>
      </c>
      <c r="M37" s="162"/>
      <c r="N37" s="154"/>
      <c r="O37" s="124"/>
      <c r="Q37" s="124"/>
      <c r="R37" s="124"/>
      <c r="S37" s="124"/>
      <c r="T37" s="124"/>
      <c r="U37" s="124"/>
      <c r="V37" s="124"/>
      <c r="W37" s="124"/>
      <c r="X37" s="124"/>
      <c r="Y37" s="124"/>
      <c r="Z37" s="124"/>
    </row>
    <row r="38" spans="2:26" ht="12.75" customHeight="1" x14ac:dyDescent="0.2">
      <c r="B38" s="124"/>
      <c r="C38" s="8" t="s">
        <v>378</v>
      </c>
      <c r="D38" s="5"/>
      <c r="E38" s="5"/>
      <c r="G38" s="315"/>
      <c r="H38" s="318">
        <f t="shared" ref="H38:L38" ca="1" si="21">(1+H37)^H36</f>
        <v>1.013006310041539</v>
      </c>
      <c r="I38" s="318">
        <f t="shared" ca="1" si="21"/>
        <v>1.0703206368460665</v>
      </c>
      <c r="J38" s="318">
        <f t="shared" ca="1" si="21"/>
        <v>1.1643755972638523</v>
      </c>
      <c r="K38" s="318">
        <f t="shared" ca="1" si="21"/>
        <v>1.2666956842938455</v>
      </c>
      <c r="L38" s="318">
        <f t="shared" ca="1" si="21"/>
        <v>1.3780072000642101</v>
      </c>
      <c r="M38" s="162"/>
      <c r="N38" s="149"/>
      <c r="O38" s="124"/>
      <c r="P38" s="124"/>
      <c r="Q38" s="124"/>
      <c r="R38" s="124"/>
      <c r="S38" s="124"/>
      <c r="T38" s="124"/>
      <c r="U38" s="124"/>
      <c r="V38" s="124"/>
      <c r="W38" s="124"/>
      <c r="X38" s="124"/>
      <c r="Y38" s="124"/>
      <c r="Z38" s="124"/>
    </row>
    <row r="39" spans="2:26" ht="12.75" customHeight="1" x14ac:dyDescent="0.2">
      <c r="B39" s="124"/>
      <c r="C39" s="132" t="s">
        <v>379</v>
      </c>
      <c r="D39" s="311"/>
      <c r="E39" s="311"/>
      <c r="F39" s="312"/>
      <c r="G39" s="316">
        <f ca="1">SUM(H39:L39)</f>
        <v>350.98202612072453</v>
      </c>
      <c r="H39" s="317">
        <f ca="1">H27/H38</f>
        <v>44.823114602465346</v>
      </c>
      <c r="I39" s="317">
        <f t="shared" ref="I39:L39" ca="1" si="22">I27/I38</f>
        <v>59.907882018130259</v>
      </c>
      <c r="J39" s="317">
        <f t="shared" ca="1" si="22"/>
        <v>78.840404286384953</v>
      </c>
      <c r="K39" s="317">
        <f t="shared" ca="1" si="22"/>
        <v>80.90470447554506</v>
      </c>
      <c r="L39" s="317">
        <f t="shared" ca="1" si="22"/>
        <v>86.50592073819891</v>
      </c>
      <c r="M39" s="162"/>
      <c r="N39" s="124"/>
      <c r="O39" s="124"/>
      <c r="P39" s="124"/>
      <c r="Q39" s="124"/>
      <c r="R39" s="124"/>
      <c r="S39" s="124"/>
      <c r="T39" s="124"/>
      <c r="U39" s="124"/>
      <c r="V39" s="124"/>
      <c r="W39" s="124"/>
      <c r="X39" s="124"/>
      <c r="Y39" s="124"/>
      <c r="Z39" s="124"/>
    </row>
    <row r="40" spans="2:26" ht="12.75" customHeight="1" x14ac:dyDescent="0.2">
      <c r="B40" s="124"/>
      <c r="C40" s="1"/>
      <c r="D40" s="1"/>
      <c r="E40" s="1"/>
      <c r="F40" s="160"/>
      <c r="G40" s="3"/>
      <c r="H40" s="3"/>
      <c r="I40" s="3"/>
      <c r="J40" s="3"/>
      <c r="K40" s="3"/>
      <c r="L40" s="2"/>
      <c r="M40" s="124"/>
      <c r="N40" s="124"/>
      <c r="O40" s="124"/>
      <c r="P40" s="124"/>
      <c r="Q40" s="124"/>
      <c r="R40" s="124"/>
      <c r="S40" s="124"/>
      <c r="T40" s="124"/>
      <c r="Y40"/>
      <c r="Z40" s="124"/>
    </row>
    <row r="41" spans="2:26" ht="12.75" customHeight="1" x14ac:dyDescent="0.2">
      <c r="B41" s="124"/>
      <c r="C41" s="1"/>
      <c r="D41" s="1"/>
      <c r="E41" s="1"/>
      <c r="F41" s="160"/>
      <c r="G41" s="3"/>
      <c r="H41" s="3"/>
      <c r="O41" s="124"/>
      <c r="Q41" s="19" t="s">
        <v>147</v>
      </c>
      <c r="R41" s="19" t="s">
        <v>147</v>
      </c>
      <c r="S41" s="19"/>
      <c r="T41" s="124"/>
      <c r="Y41" s="124"/>
      <c r="Z41" s="124"/>
    </row>
    <row r="42" spans="2:26" ht="14.25" customHeight="1" x14ac:dyDescent="0.35">
      <c r="B42" s="97" t="s">
        <v>7</v>
      </c>
      <c r="C42" s="322" t="s">
        <v>380</v>
      </c>
      <c r="D42" s="323"/>
      <c r="E42" s="323"/>
      <c r="F42" s="323"/>
      <c r="G42" s="324"/>
      <c r="H42" s="124"/>
      <c r="I42" s="398" t="s">
        <v>381</v>
      </c>
      <c r="J42" s="394"/>
      <c r="K42" s="394"/>
      <c r="L42" s="395"/>
      <c r="M42" s="396"/>
      <c r="N42" s="397"/>
      <c r="P42" s="19" t="s">
        <v>338</v>
      </c>
      <c r="Q42" s="19" t="s">
        <v>382</v>
      </c>
      <c r="R42" s="19" t="s">
        <v>383</v>
      </c>
      <c r="S42" s="19" t="s">
        <v>382</v>
      </c>
      <c r="U42" s="398" t="s">
        <v>384</v>
      </c>
      <c r="V42" s="398"/>
      <c r="W42" s="394"/>
      <c r="X42" s="394"/>
      <c r="Y42" s="124"/>
      <c r="Z42" s="124"/>
    </row>
    <row r="43" spans="2:26" ht="12.75" customHeight="1" x14ac:dyDescent="0.2">
      <c r="B43" s="124"/>
      <c r="C43" s="325" t="s">
        <v>385</v>
      </c>
      <c r="D43" s="148"/>
      <c r="E43" s="45"/>
      <c r="F43" s="45"/>
      <c r="G43" s="331">
        <f ca="1">M27</f>
        <v>119.20578162542196</v>
      </c>
      <c r="H43" s="124"/>
      <c r="I43" s="540" t="s">
        <v>382</v>
      </c>
      <c r="J43" s="119" t="s">
        <v>386</v>
      </c>
      <c r="K43" s="360"/>
      <c r="L43" s="360"/>
      <c r="M43" s="360"/>
      <c r="N43" s="360"/>
      <c r="P43" s="479">
        <f ca="1">Assumptions!D89</f>
        <v>3.5000000000000003E-2</v>
      </c>
      <c r="Q43" s="483">
        <f ca="1">Assumptions!D155</f>
        <v>5.0000000000000001E-3</v>
      </c>
      <c r="R43" s="483">
        <f ca="1">Assumptions!D156</f>
        <v>2E-3</v>
      </c>
      <c r="S43" s="484">
        <f ca="1">'Cost of Equity'!D25</f>
        <v>8.7875499340963198E-2</v>
      </c>
      <c r="V43" s="542" t="str">
        <f>Assumptions!F21</f>
        <v>Base</v>
      </c>
      <c r="W43" s="337" t="str">
        <f>Assumptions!G21</f>
        <v>Conservative</v>
      </c>
      <c r="X43" s="416" t="str">
        <f>Assumptions!H21</f>
        <v>Bullish</v>
      </c>
      <c r="Y43" s="124"/>
      <c r="Z43" s="124"/>
    </row>
    <row r="44" spans="2:26" ht="12.75" customHeight="1" x14ac:dyDescent="0.2">
      <c r="B44" s="124"/>
      <c r="C44" s="325" t="s">
        <v>387</v>
      </c>
      <c r="D44" s="148"/>
      <c r="E44" s="45"/>
      <c r="F44" s="45"/>
      <c r="G44" s="326">
        <f ca="1">P43</f>
        <v>3.5000000000000003E-2</v>
      </c>
      <c r="H44" s="124"/>
      <c r="I44" s="541">
        <f ca="1">G54</f>
        <v>27.692467174296482</v>
      </c>
      <c r="J44" s="336">
        <f>K44-P47</f>
        <v>1.0000000000000002E-2</v>
      </c>
      <c r="K44" s="337">
        <f>L44-P47</f>
        <v>3.0000000000000002E-2</v>
      </c>
      <c r="L44" s="336">
        <f>P46</f>
        <v>0.05</v>
      </c>
      <c r="M44" s="336">
        <f>$P$46+P47</f>
        <v>7.0000000000000007E-2</v>
      </c>
      <c r="N44" s="336">
        <f>M44+$P$47</f>
        <v>9.0000000000000011E-2</v>
      </c>
      <c r="U44" s="8" t="s">
        <v>383</v>
      </c>
      <c r="V44" s="415">
        <f ca="1">IF($V$43=Assumptions!$D$21,'OUT-DCF'!$P$43,V44)</f>
        <v>3.5000000000000003E-2</v>
      </c>
      <c r="W44" s="415">
        <f ca="1">IF($W$43=Assumptions!$D$21,'OUT-DCF'!$P$43,W44)</f>
        <v>0.03</v>
      </c>
      <c r="X44" s="415">
        <f ca="1">IF($X$43=Assumptions!$D$21,'OUT-DCF'!$P$43,X44)</f>
        <v>0.04</v>
      </c>
      <c r="Y44" s="124"/>
      <c r="Z44" s="124"/>
    </row>
    <row r="45" spans="2:26" ht="12.75" customHeight="1" x14ac:dyDescent="0.2">
      <c r="B45" s="124"/>
      <c r="C45" s="325"/>
      <c r="D45" s="148"/>
      <c r="E45" s="45"/>
      <c r="F45" s="45"/>
      <c r="G45" s="327"/>
      <c r="H45" s="124"/>
      <c r="I45" s="338">
        <f ca="1">I46+$Q$43</f>
        <v>9.7875499340963207E-2</v>
      </c>
      <c r="J45" s="399">
        <f t="dataTable" ref="J45:N49" dt2D="1" dtr="1" r1="P46" r2="S43" ca="1"/>
        <v>26.38590046903877</v>
      </c>
      <c r="K45" s="399">
        <v>28.148543355569839</v>
      </c>
      <c r="L45" s="399">
        <v>28.148543355569839</v>
      </c>
      <c r="M45" s="399">
        <v>26.38590046903877</v>
      </c>
      <c r="N45" s="401">
        <v>23.291711570148738</v>
      </c>
      <c r="O45" s="124"/>
      <c r="P45" s="124" t="s">
        <v>388</v>
      </c>
      <c r="Q45" s="124"/>
      <c r="R45" s="124"/>
      <c r="S45" s="124"/>
      <c r="T45" s="124"/>
      <c r="U45" s="8" t="s">
        <v>389</v>
      </c>
      <c r="V45" s="291">
        <f ca="1">IF($V$43=Assumptions!$D$21,$M$19,V45)</f>
        <v>108.97044312091083</v>
      </c>
      <c r="W45" s="291">
        <f ca="1">IF($W$43=Assumptions!$D$21,$M$19,W45)</f>
        <v>106.75848363637553</v>
      </c>
      <c r="X45" s="291">
        <f ca="1">IF($X$43=Assumptions!$D$21,$M$19,X45)</f>
        <v>120.75812015116189</v>
      </c>
      <c r="Y45" s="124"/>
      <c r="Z45" s="124"/>
    </row>
    <row r="46" spans="2:26" ht="12.75" customHeight="1" x14ac:dyDescent="0.2">
      <c r="B46" s="124"/>
      <c r="C46" s="325" t="s">
        <v>390</v>
      </c>
      <c r="D46" s="148"/>
      <c r="E46" s="45"/>
      <c r="F46" s="45"/>
      <c r="G46" s="334">
        <f ca="1">(G43*(1+G44))/(G48-G44)</f>
        <v>2333.3677321271089</v>
      </c>
      <c r="H46" s="124"/>
      <c r="I46" s="338">
        <f ca="1">I47+Q43</f>
        <v>9.2875499340963202E-2</v>
      </c>
      <c r="J46" s="399">
        <v>24.431933281606341</v>
      </c>
      <c r="K46" s="402">
        <v>26.056668300140277</v>
      </c>
      <c r="L46" s="403">
        <v>26.056668300140277</v>
      </c>
      <c r="M46" s="404">
        <v>24.431933281606341</v>
      </c>
      <c r="N46" s="401">
        <v>21.578537348800324</v>
      </c>
      <c r="O46" s="124"/>
      <c r="P46" s="594">
        <v>0.05</v>
      </c>
      <c r="Q46" s="124"/>
      <c r="R46" s="124"/>
      <c r="S46" s="124"/>
      <c r="T46" s="124"/>
      <c r="U46" s="45" t="s">
        <v>391</v>
      </c>
      <c r="V46" s="291">
        <f ca="1">IF($V$43=Assumptions!$D$21,$M$27,V46)</f>
        <v>119.20578162542196</v>
      </c>
      <c r="W46" s="291">
        <f ca="1">IF($W$43=Assumptions!$D$21,$M$27,W46)</f>
        <v>96.561406749752393</v>
      </c>
      <c r="X46" s="291">
        <f ca="1">IF($X$43=Assumptions!$D$21,$M$27,X46)</f>
        <v>164.73145459943069</v>
      </c>
      <c r="Y46" s="124"/>
      <c r="Z46" s="124"/>
    </row>
    <row r="47" spans="2:26" ht="12.75" customHeight="1" x14ac:dyDescent="0.2">
      <c r="B47" s="124"/>
      <c r="C47" s="325" t="s">
        <v>376</v>
      </c>
      <c r="D47" s="148"/>
      <c r="E47" s="45"/>
      <c r="F47" s="45"/>
      <c r="G47" s="328">
        <f ca="1">L36</f>
        <v>3.8068493150684932</v>
      </c>
      <c r="H47" s="124"/>
      <c r="I47" s="338">
        <f ca="1">G48</f>
        <v>8.7875499340963198E-2</v>
      </c>
      <c r="J47" s="399">
        <v>24.431933281606341</v>
      </c>
      <c r="K47" s="405">
        <v>26.056668300140277</v>
      </c>
      <c r="L47" s="406">
        <v>26.056668300140277</v>
      </c>
      <c r="M47" s="407">
        <v>24.431933281606341</v>
      </c>
      <c r="N47" s="401">
        <v>21.578537348800324</v>
      </c>
      <c r="O47" s="124"/>
      <c r="P47" s="594">
        <v>0.02</v>
      </c>
      <c r="Q47" s="124"/>
      <c r="R47" s="124"/>
      <c r="S47" s="124"/>
      <c r="T47" s="124"/>
      <c r="U47" s="417" t="s">
        <v>392</v>
      </c>
      <c r="V47" s="418">
        <f ca="1">IF($V$43=Assumptions!$D$21,$G$54,V47)</f>
        <v>27.692467174296482</v>
      </c>
      <c r="W47" s="418">
        <f ca="1">IF($W$43=Assumptions!$D$21,$G$54,W47)</f>
        <v>23.171579199573323</v>
      </c>
      <c r="X47" s="418">
        <f ca="1">IF($X$43=Assumptions!$D$21,$G$54,X47)</f>
        <v>37.625843540775406</v>
      </c>
      <c r="Y47" s="124"/>
      <c r="Z47" s="124"/>
    </row>
    <row r="48" spans="2:26" ht="12.75" customHeight="1" x14ac:dyDescent="0.2">
      <c r="B48" s="124"/>
      <c r="C48" s="325" t="s">
        <v>377</v>
      </c>
      <c r="D48" s="148"/>
      <c r="E48" s="45"/>
      <c r="F48" s="45"/>
      <c r="G48" s="329">
        <f ca="1">S43</f>
        <v>8.7875499340963198E-2</v>
      </c>
      <c r="H48" s="124"/>
      <c r="I48" s="338">
        <f ca="1">I47-Q43</f>
        <v>8.2875499340963193E-2</v>
      </c>
      <c r="J48" s="399">
        <v>26.38590046903877</v>
      </c>
      <c r="K48" s="408">
        <v>28.148543355569839</v>
      </c>
      <c r="L48" s="409">
        <v>28.148543355569839</v>
      </c>
      <c r="M48" s="410">
        <v>26.38590046903877</v>
      </c>
      <c r="N48" s="401">
        <v>23.291711570148738</v>
      </c>
      <c r="O48" s="124"/>
      <c r="P48" s="124"/>
      <c r="Q48" s="124"/>
      <c r="R48" s="124"/>
      <c r="S48" s="124"/>
      <c r="T48" s="124"/>
      <c r="U48" s="124"/>
      <c r="V48" s="124"/>
      <c r="W48" s="124"/>
      <c r="X48" s="124"/>
      <c r="Y48" s="124"/>
      <c r="Z48" s="124"/>
    </row>
    <row r="49" spans="2:26" ht="12.75" customHeight="1" x14ac:dyDescent="0.2">
      <c r="B49" s="124"/>
      <c r="C49" s="325" t="s">
        <v>378</v>
      </c>
      <c r="D49" s="148"/>
      <c r="E49" s="45"/>
      <c r="F49" s="45"/>
      <c r="G49" s="330">
        <f t="shared" ref="G49" ca="1" si="23">(1+G48)^G47</f>
        <v>1.3780072000642101</v>
      </c>
      <c r="H49" s="124"/>
      <c r="I49" s="338">
        <f ca="1">I48-Q43</f>
        <v>7.7875499340963189E-2</v>
      </c>
      <c r="J49" s="400">
        <v>31.405714141042377</v>
      </c>
      <c r="K49" s="400">
        <v>33.522941929459613</v>
      </c>
      <c r="L49" s="400">
        <v>33.522941929459613</v>
      </c>
      <c r="M49" s="400">
        <v>31.405714141042377</v>
      </c>
      <c r="N49" s="411">
        <v>27.692467174296482</v>
      </c>
      <c r="O49" s="124"/>
      <c r="P49" s="124"/>
      <c r="Q49" s="124"/>
      <c r="R49" s="124"/>
      <c r="S49" s="124"/>
      <c r="T49" s="124"/>
      <c r="U49" s="124"/>
      <c r="V49" s="124"/>
      <c r="W49" s="124"/>
      <c r="X49" s="124"/>
      <c r="Y49" s="124"/>
      <c r="Z49" s="124"/>
    </row>
    <row r="50" spans="2:26" ht="12.75" customHeight="1" x14ac:dyDescent="0.2">
      <c r="B50" s="124"/>
      <c r="C50" s="325" t="s">
        <v>393</v>
      </c>
      <c r="D50" s="148"/>
      <c r="E50" s="45"/>
      <c r="F50" s="45"/>
      <c r="G50" s="334">
        <f ca="1">G46/G49</f>
        <v>1693.2913935561312</v>
      </c>
      <c r="H50" s="124"/>
      <c r="O50" s="124"/>
      <c r="P50" s="124"/>
      <c r="Q50" s="124"/>
      <c r="R50" s="124"/>
      <c r="S50" s="124"/>
      <c r="T50" s="124"/>
      <c r="U50" s="124"/>
      <c r="V50" s="124"/>
      <c r="W50" s="535"/>
      <c r="X50" s="124"/>
      <c r="Y50" s="124"/>
      <c r="Z50" s="124"/>
    </row>
    <row r="51" spans="2:26" ht="12.75" customHeight="1" x14ac:dyDescent="0.2">
      <c r="B51" s="124"/>
      <c r="C51" s="325" t="s">
        <v>394</v>
      </c>
      <c r="D51" s="148"/>
      <c r="E51" s="45"/>
      <c r="F51" s="45"/>
      <c r="G51" s="378">
        <f ca="1">G39</f>
        <v>350.98202612072453</v>
      </c>
      <c r="H51" s="124"/>
      <c r="O51" s="124"/>
      <c r="P51" s="124"/>
      <c r="Q51" s="124"/>
      <c r="R51" s="124"/>
      <c r="S51" s="124"/>
      <c r="T51" s="124"/>
      <c r="U51" s="124"/>
      <c r="V51" s="124"/>
      <c r="W51" s="124"/>
      <c r="X51" s="124"/>
      <c r="Y51" s="124"/>
      <c r="Z51" s="124"/>
    </row>
    <row r="52" spans="2:26" ht="12.75" customHeight="1" x14ac:dyDescent="0.2">
      <c r="B52" s="124"/>
      <c r="C52" s="332" t="s">
        <v>395</v>
      </c>
      <c r="D52" s="155"/>
      <c r="E52" s="132"/>
      <c r="F52" s="132"/>
      <c r="G52" s="333">
        <f ca="1">SUM(G50:G51)</f>
        <v>2044.2734196768556</v>
      </c>
      <c r="H52" s="124"/>
      <c r="J52"/>
      <c r="K52"/>
      <c r="L52"/>
      <c r="M52"/>
      <c r="O52" s="124"/>
      <c r="P52" s="124"/>
      <c r="Q52" s="124"/>
      <c r="R52" s="124"/>
      <c r="S52" s="124"/>
      <c r="T52" s="124"/>
      <c r="U52" s="124"/>
      <c r="V52" s="124"/>
      <c r="W52" s="124"/>
      <c r="X52" s="124"/>
      <c r="Y52" s="124"/>
      <c r="Z52" s="124"/>
    </row>
    <row r="53" spans="2:26" ht="12.75" customHeight="1" x14ac:dyDescent="0.2">
      <c r="B53" s="124"/>
      <c r="C53" s="325" t="s">
        <v>396</v>
      </c>
      <c r="D53" s="148"/>
      <c r="E53" s="45"/>
      <c r="F53" s="45"/>
      <c r="G53" s="334">
        <f ca="1">Assumptions!D43</f>
        <v>73.820559461538465</v>
      </c>
      <c r="H53" s="124"/>
      <c r="O53" s="124"/>
      <c r="P53" s="124"/>
      <c r="Q53" s="124"/>
      <c r="R53" s="124"/>
      <c r="S53" s="124"/>
      <c r="T53" s="124"/>
      <c r="U53" s="124"/>
      <c r="V53" s="124"/>
      <c r="W53" s="124"/>
      <c r="X53" s="124"/>
      <c r="Y53" s="124"/>
      <c r="Z53" s="124"/>
    </row>
    <row r="54" spans="2:26" ht="12.75" customHeight="1" x14ac:dyDescent="0.2">
      <c r="B54" s="124"/>
      <c r="C54" s="335" t="s">
        <v>392</v>
      </c>
      <c r="D54" s="157"/>
      <c r="E54" s="130"/>
      <c r="F54" s="130"/>
      <c r="G54" s="393">
        <f ca="1">G52/G53</f>
        <v>27.692467174296482</v>
      </c>
      <c r="H54" s="124"/>
      <c r="O54" s="124"/>
      <c r="P54" s="124"/>
      <c r="Q54" s="124"/>
      <c r="R54" s="124"/>
      <c r="S54" s="124"/>
      <c r="T54" s="124"/>
      <c r="U54" s="124"/>
      <c r="V54" s="124"/>
      <c r="W54" s="124"/>
      <c r="X54" s="124"/>
      <c r="Y54" s="124"/>
      <c r="Z54" s="124"/>
    </row>
    <row r="55" spans="2:26" ht="12.75" customHeight="1" x14ac:dyDescent="0.2">
      <c r="B55" s="124"/>
      <c r="C55" s="148"/>
      <c r="D55" s="148"/>
      <c r="E55" s="45"/>
      <c r="F55" s="45"/>
      <c r="G55" s="321"/>
      <c r="H55" s="124"/>
      <c r="I55" s="124"/>
      <c r="O55" s="124"/>
      <c r="P55" s="124"/>
      <c r="Q55" s="124"/>
      <c r="R55" s="124"/>
      <c r="S55" s="124"/>
      <c r="T55" s="124"/>
      <c r="U55" s="124"/>
      <c r="V55" s="124"/>
      <c r="W55" s="124"/>
      <c r="X55" s="124"/>
      <c r="Y55" s="124"/>
      <c r="Z55" s="124"/>
    </row>
    <row r="56" spans="2:26" ht="12.75" customHeight="1" x14ac:dyDescent="0.2">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row>
    <row r="57" spans="2:26" ht="12.75" customHeight="1" x14ac:dyDescent="0.2">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row>
    <row r="58" spans="2:26" ht="12.75" customHeight="1" x14ac:dyDescent="0.2">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row>
    <row r="59" spans="2:26" ht="12.75" customHeight="1" x14ac:dyDescent="0.2">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row>
    <row r="60" spans="2:26" ht="12.75" customHeight="1" x14ac:dyDescent="0.2">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row>
    <row r="61" spans="2:26" ht="12.75" customHeight="1" x14ac:dyDescent="0.2">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row>
    <row r="62" spans="2:26" ht="12.75" customHeight="1" x14ac:dyDescent="0.2">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row>
    <row r="63" spans="2:26" ht="12.75" customHeight="1" x14ac:dyDescent="0.2">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row>
    <row r="64" spans="2:26" ht="12.75" customHeight="1" x14ac:dyDescent="0.2">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row>
    <row r="65" spans="2:26" ht="12.75" customHeight="1" x14ac:dyDescent="0.2">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row>
    <row r="66" spans="2:26" ht="12.75" customHeight="1" x14ac:dyDescent="0.2">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row>
    <row r="67" spans="2:26" ht="12.75" customHeight="1" x14ac:dyDescent="0.2">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row>
    <row r="68" spans="2:26" ht="12.75" customHeight="1" x14ac:dyDescent="0.2">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row>
    <row r="69" spans="2:26" ht="12.75" customHeight="1" x14ac:dyDescent="0.2">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row>
    <row r="70" spans="2:26" ht="12.75" customHeight="1" x14ac:dyDescent="0.2">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row>
    <row r="71" spans="2:26" ht="12.75" customHeight="1" x14ac:dyDescent="0.2">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row>
    <row r="72" spans="2:26" ht="12.75" customHeight="1" x14ac:dyDescent="0.2">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row>
    <row r="73" spans="2:26" ht="12.75" customHeight="1" x14ac:dyDescent="0.2">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row>
    <row r="74" spans="2:26" ht="12.7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row>
    <row r="75" spans="2:26" ht="12.75" customHeight="1" x14ac:dyDescent="0.2">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row>
    <row r="76" spans="2:26" ht="12.75" customHeight="1" x14ac:dyDescent="0.2">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row>
    <row r="77" spans="2:26" ht="12.75" customHeight="1" x14ac:dyDescent="0.2">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row>
    <row r="78" spans="2:26" ht="12.75" customHeight="1" x14ac:dyDescent="0.2">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row>
    <row r="79" spans="2:26" ht="12.75" customHeight="1" x14ac:dyDescent="0.2">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row>
    <row r="80" spans="2:26" ht="12.75" customHeight="1" x14ac:dyDescent="0.2">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row>
    <row r="81" spans="2:26" ht="12.75" customHeight="1" x14ac:dyDescent="0.2">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row>
    <row r="82" spans="2:26" ht="12.75" customHeight="1" x14ac:dyDescent="0.2">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row>
    <row r="83" spans="2:26" ht="12.75" customHeight="1" x14ac:dyDescent="0.2">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row>
    <row r="84" spans="2:26" ht="12.75" customHeight="1" x14ac:dyDescent="0.2">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row>
    <row r="85" spans="2:26" ht="12.75" customHeight="1" x14ac:dyDescent="0.2">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row>
    <row r="86" spans="2:26" ht="12.75" customHeight="1" x14ac:dyDescent="0.2">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row>
    <row r="87" spans="2:26" ht="12.75" customHeight="1" x14ac:dyDescent="0.2">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row>
    <row r="88" spans="2:26" ht="12.75" customHeight="1" x14ac:dyDescent="0.2">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row>
    <row r="89" spans="2:26" ht="12.75" customHeight="1" x14ac:dyDescent="0.2">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row>
    <row r="90" spans="2:26" ht="12.75" customHeight="1" x14ac:dyDescent="0.2">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row>
    <row r="91" spans="2:26" ht="12.75" customHeight="1" x14ac:dyDescent="0.2">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row>
    <row r="92" spans="2:26" ht="12.75" customHeight="1" x14ac:dyDescent="0.2">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row>
    <row r="93" spans="2:26" ht="12.75" customHeight="1" x14ac:dyDescent="0.2">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row>
    <row r="94" spans="2:26" ht="12.75" customHeight="1" x14ac:dyDescent="0.2">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row>
    <row r="95" spans="2:26" ht="12.75" customHeight="1" x14ac:dyDescent="0.2">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row>
    <row r="96" spans="2:26" ht="12.75" customHeight="1" x14ac:dyDescent="0.2">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row>
    <row r="97" spans="2:26" ht="12.75" customHeight="1" x14ac:dyDescent="0.2">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row>
    <row r="98" spans="2:26" ht="12.75" customHeight="1" x14ac:dyDescent="0.2">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row>
    <row r="99" spans="2:26" ht="12.75" customHeight="1" x14ac:dyDescent="0.2">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row>
    <row r="100" spans="2:26" ht="12.75" customHeight="1" x14ac:dyDescent="0.2">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row>
    <row r="101" spans="2:26" ht="12.75" customHeight="1" x14ac:dyDescent="0.2">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row>
    <row r="102" spans="2:26" ht="12.75" customHeight="1" x14ac:dyDescent="0.2">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row>
    <row r="103" spans="2:26" ht="12.75" customHeight="1" x14ac:dyDescent="0.2">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row>
    <row r="104" spans="2:26" ht="12.75" customHeight="1" x14ac:dyDescent="0.2">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row>
    <row r="105" spans="2:26" ht="12.75" customHeight="1" x14ac:dyDescent="0.2">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row>
    <row r="106" spans="2:26" ht="12.75" customHeight="1" x14ac:dyDescent="0.2">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row>
    <row r="107" spans="2:26" ht="12.75" customHeight="1" x14ac:dyDescent="0.2">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row>
    <row r="108" spans="2:26" ht="12.75" customHeight="1" x14ac:dyDescent="0.2">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row>
    <row r="109" spans="2:26" ht="12.75" customHeight="1" x14ac:dyDescent="0.2">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row>
    <row r="110" spans="2:26" ht="12.75" customHeight="1" x14ac:dyDescent="0.2">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row>
    <row r="111" spans="2:26" ht="12.75" customHeight="1" x14ac:dyDescent="0.2">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row>
    <row r="112" spans="2:26" ht="12.75" customHeight="1" x14ac:dyDescent="0.2">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row>
    <row r="113" spans="2:26" ht="12.75" customHeight="1" x14ac:dyDescent="0.2">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row>
    <row r="114" spans="2:26" ht="12.75" customHeight="1" x14ac:dyDescent="0.2">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row>
    <row r="115" spans="2:26" ht="12.75" customHeight="1" x14ac:dyDescent="0.2">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row>
    <row r="116" spans="2:26" ht="12.75" customHeight="1" x14ac:dyDescent="0.2">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row>
    <row r="117" spans="2:26" ht="12.75" customHeight="1" x14ac:dyDescent="0.2">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row>
    <row r="118" spans="2:26" ht="12.75" customHeight="1" x14ac:dyDescent="0.2">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row>
    <row r="119" spans="2:26" ht="12.75" customHeight="1" x14ac:dyDescent="0.2">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row>
    <row r="120" spans="2:26" ht="12.75" customHeight="1" x14ac:dyDescent="0.2">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row>
    <row r="121" spans="2:26" ht="12.75" customHeight="1" x14ac:dyDescent="0.2">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row>
    <row r="122" spans="2:26" ht="12.75" customHeight="1" x14ac:dyDescent="0.2">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row>
    <row r="123" spans="2:26" ht="12.75" customHeight="1" x14ac:dyDescent="0.2">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row>
    <row r="124" spans="2:26" ht="12.75" customHeight="1" x14ac:dyDescent="0.2">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row>
    <row r="125" spans="2:26" ht="12.75" customHeight="1" x14ac:dyDescent="0.2">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row>
    <row r="126" spans="2:26" ht="12.75" customHeight="1" x14ac:dyDescent="0.2">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row>
    <row r="127" spans="2:26" ht="12.75" customHeight="1" x14ac:dyDescent="0.2">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row>
    <row r="128" spans="2:26" ht="12.75" customHeight="1" x14ac:dyDescent="0.2">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row>
    <row r="129" spans="2:26" ht="12.75" customHeight="1" x14ac:dyDescent="0.2">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row>
    <row r="130" spans="2:26" ht="12.75" customHeight="1" x14ac:dyDescent="0.2">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row>
    <row r="131" spans="2:26" ht="12.75" customHeight="1" x14ac:dyDescent="0.2">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row>
    <row r="132" spans="2:26" ht="12.75" customHeight="1" x14ac:dyDescent="0.2">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row>
    <row r="133" spans="2:26" ht="12.75" customHeight="1" x14ac:dyDescent="0.2">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row>
    <row r="134" spans="2:26" ht="12.75" customHeight="1" x14ac:dyDescent="0.2">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row>
    <row r="135" spans="2:26" ht="12.75" customHeight="1" x14ac:dyDescent="0.2">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row>
    <row r="136" spans="2:26" ht="12.75" customHeight="1" x14ac:dyDescent="0.2">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row>
    <row r="137" spans="2:26" ht="12.75" customHeight="1" x14ac:dyDescent="0.2">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row>
    <row r="138" spans="2:26" ht="12.75" customHeight="1" x14ac:dyDescent="0.2">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row>
    <row r="139" spans="2:26" ht="12.75" customHeight="1" x14ac:dyDescent="0.2">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row>
    <row r="140" spans="2:26" ht="12.75" customHeight="1" x14ac:dyDescent="0.2">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row>
    <row r="141" spans="2:26" ht="12.75" customHeight="1" x14ac:dyDescent="0.2">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row>
    <row r="142" spans="2:26" ht="12.75" customHeight="1" x14ac:dyDescent="0.2">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row>
    <row r="143" spans="2:26" ht="12.75" customHeight="1" x14ac:dyDescent="0.2">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row>
    <row r="144" spans="2:26" ht="12.75" customHeight="1" x14ac:dyDescent="0.2">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row>
    <row r="145" spans="2:26" ht="12.75" customHeight="1" x14ac:dyDescent="0.2">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row>
    <row r="146" spans="2:26" ht="12.75" customHeight="1" x14ac:dyDescent="0.2">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row>
    <row r="147" spans="2:26" ht="12.75" customHeight="1" x14ac:dyDescent="0.2">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row>
    <row r="148" spans="2:26" ht="12.75" customHeight="1" x14ac:dyDescent="0.2">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row>
    <row r="149" spans="2:26" ht="12.75" customHeight="1" x14ac:dyDescent="0.2">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row>
    <row r="150" spans="2:26" ht="12.75" customHeight="1" x14ac:dyDescent="0.2">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row>
    <row r="151" spans="2:26" ht="12.75" customHeight="1" x14ac:dyDescent="0.2">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row>
    <row r="152" spans="2:26" ht="12.75" customHeight="1" x14ac:dyDescent="0.2">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row>
    <row r="153" spans="2:26" ht="12.75" customHeight="1" x14ac:dyDescent="0.2">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row>
    <row r="154" spans="2:26" ht="12.75" customHeight="1" x14ac:dyDescent="0.2">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row>
    <row r="155" spans="2:26" ht="12.75" customHeight="1" x14ac:dyDescent="0.2">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row>
    <row r="156" spans="2:26" ht="12.75" customHeight="1" x14ac:dyDescent="0.2">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row>
    <row r="157" spans="2:26" ht="12.75" customHeight="1" x14ac:dyDescent="0.2">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row>
    <row r="158" spans="2:26" ht="12.75" customHeight="1" x14ac:dyDescent="0.2">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row>
    <row r="159" spans="2:26" ht="12.75" customHeight="1" x14ac:dyDescent="0.2">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row>
    <row r="160" spans="2:26" ht="12.75" customHeight="1" x14ac:dyDescent="0.2">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row>
    <row r="161" spans="2:26" ht="12.75" customHeight="1" x14ac:dyDescent="0.2">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row>
    <row r="162" spans="2:26" ht="12.75" customHeight="1" x14ac:dyDescent="0.2">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row>
    <row r="163" spans="2:26" ht="12.75" customHeight="1" x14ac:dyDescent="0.2">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row>
    <row r="164" spans="2:26" ht="12.75" customHeight="1" x14ac:dyDescent="0.2">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row>
    <row r="165" spans="2:26" ht="12.75" customHeight="1" x14ac:dyDescent="0.2">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row>
    <row r="166" spans="2:26" ht="12.75" customHeight="1" x14ac:dyDescent="0.2">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row>
    <row r="167" spans="2:26" ht="12.75" customHeight="1" x14ac:dyDescent="0.2">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row>
    <row r="168" spans="2:26" ht="12.75" customHeight="1" x14ac:dyDescent="0.2">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row>
    <row r="169" spans="2:26" ht="12.75" customHeight="1" x14ac:dyDescent="0.2">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row>
    <row r="170" spans="2:26" ht="12.75" customHeight="1" x14ac:dyDescent="0.2">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row>
    <row r="171" spans="2:26" ht="12.75" customHeight="1" x14ac:dyDescent="0.2">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row>
    <row r="172" spans="2:26" ht="12.75" customHeight="1" x14ac:dyDescent="0.2">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row>
    <row r="173" spans="2:26" ht="12.75" customHeight="1" x14ac:dyDescent="0.2">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row>
    <row r="174" spans="2:26" ht="12.75" customHeight="1" x14ac:dyDescent="0.2">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row>
    <row r="175" spans="2:26" ht="12.75" customHeight="1" x14ac:dyDescent="0.2">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row>
    <row r="176" spans="2:26" ht="12.75" customHeight="1" x14ac:dyDescent="0.2">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row>
    <row r="177" spans="2:26" ht="12.75" customHeight="1" x14ac:dyDescent="0.2">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row>
    <row r="178" spans="2:26" ht="12.75" customHeight="1" x14ac:dyDescent="0.2">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row>
    <row r="179" spans="2:26" ht="12.75" customHeight="1" x14ac:dyDescent="0.2">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row>
    <row r="180" spans="2:26" ht="12.75" customHeight="1" x14ac:dyDescent="0.2">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row>
    <row r="181" spans="2:26" ht="12.75" customHeight="1" x14ac:dyDescent="0.2">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row>
    <row r="182" spans="2:26" ht="12.75" customHeight="1" x14ac:dyDescent="0.2">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row>
    <row r="183" spans="2:26" ht="12.75" customHeight="1" x14ac:dyDescent="0.2">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row>
    <row r="184" spans="2:26" ht="12.75" customHeight="1" x14ac:dyDescent="0.2">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row>
    <row r="185" spans="2:26" ht="12.75" customHeight="1" x14ac:dyDescent="0.2">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row>
    <row r="186" spans="2:26" ht="12.75" customHeight="1" x14ac:dyDescent="0.2">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row>
    <row r="187" spans="2:26" ht="12.75" customHeight="1" x14ac:dyDescent="0.2">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row>
    <row r="188" spans="2:26" ht="12.75" customHeight="1" x14ac:dyDescent="0.2">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row>
    <row r="189" spans="2:26" ht="12.75" customHeight="1" x14ac:dyDescent="0.2">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row>
    <row r="190" spans="2:26" ht="12.75" customHeight="1" x14ac:dyDescent="0.2">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row>
    <row r="191" spans="2:26" ht="12.75" customHeight="1" x14ac:dyDescent="0.2">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row>
    <row r="192" spans="2:26" ht="12.75" customHeight="1" x14ac:dyDescent="0.2">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row>
    <row r="193" spans="2:26" ht="12.75" customHeight="1" x14ac:dyDescent="0.2">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row>
    <row r="194" spans="2:26" ht="12.75" customHeight="1" x14ac:dyDescent="0.2">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row>
    <row r="195" spans="2:26" ht="12.75" customHeight="1" x14ac:dyDescent="0.2">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row>
    <row r="196" spans="2:26" ht="12.75" customHeight="1" x14ac:dyDescent="0.2">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row>
    <row r="197" spans="2:26" ht="12.75" customHeight="1" x14ac:dyDescent="0.2">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row>
    <row r="198" spans="2:26" ht="12.75" customHeight="1" x14ac:dyDescent="0.2">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row>
    <row r="199" spans="2:26" ht="12.75" customHeight="1" x14ac:dyDescent="0.2">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row>
    <row r="200" spans="2:26" ht="12.75" customHeight="1" x14ac:dyDescent="0.2">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row>
    <row r="201" spans="2:26" ht="12.75" customHeight="1" x14ac:dyDescent="0.2">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row>
    <row r="202" spans="2:26" ht="12.75" customHeight="1" x14ac:dyDescent="0.2">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row>
    <row r="203" spans="2:26" ht="12.75" customHeight="1" x14ac:dyDescent="0.2">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row>
    <row r="204" spans="2:26" ht="12.75" customHeight="1" x14ac:dyDescent="0.2">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row>
    <row r="205" spans="2:26" ht="12.75" customHeight="1" x14ac:dyDescent="0.2">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row>
    <row r="206" spans="2:26" ht="12.75" customHeight="1" x14ac:dyDescent="0.2">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row>
    <row r="207" spans="2:26" ht="12.75" customHeight="1" x14ac:dyDescent="0.2">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row>
    <row r="208" spans="2:26" ht="12.75" customHeight="1" x14ac:dyDescent="0.2">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row>
    <row r="209" spans="2:26" ht="12.75" customHeight="1" x14ac:dyDescent="0.2">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row>
    <row r="210" spans="2:26" ht="12.75" customHeight="1" x14ac:dyDescent="0.2">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row>
    <row r="211" spans="2:26" ht="12.75" customHeight="1" x14ac:dyDescent="0.2">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row>
    <row r="212" spans="2:26" ht="12.75" customHeight="1" x14ac:dyDescent="0.2">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row>
    <row r="213" spans="2:26" ht="12.75" customHeight="1" x14ac:dyDescent="0.2">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row>
    <row r="214" spans="2:26" ht="12.75" customHeight="1" x14ac:dyDescent="0.2">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row>
    <row r="215" spans="2:26" ht="12.75" customHeight="1" x14ac:dyDescent="0.2">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row>
    <row r="216" spans="2:26" ht="12.75" customHeight="1" x14ac:dyDescent="0.2">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row>
    <row r="217" spans="2:26" ht="12.75" customHeight="1" x14ac:dyDescent="0.2">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row>
    <row r="218" spans="2:26" ht="12.75" customHeight="1" x14ac:dyDescent="0.2">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row>
    <row r="219" spans="2:26" ht="12.75" customHeight="1" x14ac:dyDescent="0.2">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row>
    <row r="220" spans="2:26" ht="12.75" customHeight="1" x14ac:dyDescent="0.2">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row>
    <row r="221" spans="2:26" ht="12.75" customHeight="1" x14ac:dyDescent="0.2">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row>
    <row r="222" spans="2:26" ht="12.75" customHeight="1" x14ac:dyDescent="0.2">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row>
    <row r="223" spans="2:26" ht="12.75" customHeight="1" x14ac:dyDescent="0.2">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row>
    <row r="224" spans="2:26" ht="12.75" customHeight="1" x14ac:dyDescent="0.2">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row>
    <row r="225" spans="2:26" ht="12.75" customHeight="1" x14ac:dyDescent="0.2">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row>
    <row r="226" spans="2:26" ht="12.75" customHeight="1" x14ac:dyDescent="0.2">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row>
    <row r="227" spans="2:26" ht="12.75" customHeight="1" x14ac:dyDescent="0.2">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row>
    <row r="228" spans="2:26" ht="12.75" customHeight="1" x14ac:dyDescent="0.2">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row>
    <row r="229" spans="2:26" ht="12.75" customHeight="1" x14ac:dyDescent="0.2">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row>
    <row r="230" spans="2:26" ht="12.75" customHeight="1" x14ac:dyDescent="0.2">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row>
    <row r="231" spans="2:26" ht="12.75" customHeight="1" x14ac:dyDescent="0.2">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row>
    <row r="232" spans="2:26" ht="12.75" customHeight="1" x14ac:dyDescent="0.2">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row>
    <row r="233" spans="2:26" ht="12.75" customHeight="1" x14ac:dyDescent="0.2">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row>
    <row r="234" spans="2:26" ht="12.75" customHeight="1" x14ac:dyDescent="0.2">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row>
    <row r="235" spans="2:26" ht="12.75" customHeight="1" x14ac:dyDescent="0.2">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row>
    <row r="236" spans="2:26" ht="12.75" customHeight="1" x14ac:dyDescent="0.2">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row>
    <row r="237" spans="2:26" ht="12.75" customHeight="1" x14ac:dyDescent="0.2">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row>
    <row r="238" spans="2:26" ht="12.75" customHeight="1" x14ac:dyDescent="0.2">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row>
    <row r="239" spans="2:26" ht="12.75" customHeight="1" x14ac:dyDescent="0.2">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row>
    <row r="240" spans="2:26" ht="12.75" customHeight="1" x14ac:dyDescent="0.2">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row>
    <row r="241" spans="2:26" ht="12.75" customHeight="1" x14ac:dyDescent="0.2">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row>
    <row r="242" spans="2:26" ht="12.75" customHeight="1" x14ac:dyDescent="0.2">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row>
    <row r="243" spans="2:26" ht="12.75" customHeight="1" x14ac:dyDescent="0.2">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row>
    <row r="244" spans="2:26" ht="12.75" customHeight="1" x14ac:dyDescent="0.2">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row>
    <row r="245" spans="2:26" ht="12.75" customHeight="1" x14ac:dyDescent="0.2">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row>
    <row r="246" spans="2:26" ht="12.75" customHeight="1" x14ac:dyDescent="0.2">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row>
    <row r="247" spans="2:26" ht="12.75" customHeight="1" x14ac:dyDescent="0.2">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row>
    <row r="248" spans="2:26" ht="12.75" customHeight="1" x14ac:dyDescent="0.2">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row>
    <row r="249" spans="2:26" ht="12.75" customHeight="1" x14ac:dyDescent="0.2">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row>
    <row r="250" spans="2:26" ht="12.75" customHeight="1" x14ac:dyDescent="0.2">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row>
    <row r="251" spans="2:26" ht="12.75" customHeight="1" x14ac:dyDescent="0.2">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row>
    <row r="252" spans="2:26" ht="12.75" customHeight="1" x14ac:dyDescent="0.2">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row>
    <row r="253" spans="2:26" ht="12.75" customHeight="1" x14ac:dyDescent="0.2">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row>
    <row r="254" spans="2:26" ht="12.75" customHeight="1" x14ac:dyDescent="0.2">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row>
    <row r="255" spans="2:26" ht="12.75" customHeight="1" x14ac:dyDescent="0.2">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row>
    <row r="256" spans="2:26" ht="12.75" customHeight="1" x14ac:dyDescent="0.2">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row>
    <row r="257" spans="2:26" ht="12.75" customHeight="1" x14ac:dyDescent="0.2">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row>
    <row r="258" spans="2:26" ht="12.75" customHeight="1" x14ac:dyDescent="0.2">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row>
    <row r="259" spans="2:26" ht="12.75" customHeight="1" x14ac:dyDescent="0.2">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row>
    <row r="260" spans="2:26" ht="12.75" customHeight="1" x14ac:dyDescent="0.2">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row>
    <row r="261" spans="2:26" ht="12.75" customHeight="1" x14ac:dyDescent="0.2">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row>
    <row r="262" spans="2:26" ht="12.75" customHeight="1" x14ac:dyDescent="0.2">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row>
    <row r="263" spans="2:26" ht="12.75" customHeight="1" x14ac:dyDescent="0.2">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row>
    <row r="264" spans="2:26" ht="12.75" customHeight="1" x14ac:dyDescent="0.2">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row>
    <row r="265" spans="2:26" ht="12.75" customHeight="1" x14ac:dyDescent="0.2">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row>
    <row r="266" spans="2:26" ht="12.75" customHeight="1" x14ac:dyDescent="0.2">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row>
    <row r="267" spans="2:26" ht="12.75" customHeight="1" x14ac:dyDescent="0.2">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row>
    <row r="268" spans="2:26" ht="12.75" customHeight="1" x14ac:dyDescent="0.2">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row>
    <row r="269" spans="2:26" ht="12.75" customHeight="1" x14ac:dyDescent="0.2">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row>
    <row r="270" spans="2:26" ht="12.75" customHeight="1" x14ac:dyDescent="0.2">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row>
    <row r="271" spans="2:26" ht="12.75" customHeight="1" x14ac:dyDescent="0.2">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row>
    <row r="272" spans="2:26" ht="12.75" customHeight="1" x14ac:dyDescent="0.2">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row>
    <row r="273" spans="2:26" ht="12.75" customHeight="1" x14ac:dyDescent="0.2">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row>
    <row r="274" spans="2:26" ht="12.75" customHeight="1" x14ac:dyDescent="0.2">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row>
    <row r="275" spans="2:26" ht="12.75" customHeight="1" x14ac:dyDescent="0.2">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row>
    <row r="276" spans="2:26" ht="12.75" customHeight="1" x14ac:dyDescent="0.2">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row>
    <row r="277" spans="2:26" ht="12.75" customHeight="1" x14ac:dyDescent="0.2">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row>
    <row r="278" spans="2:26" ht="12.75" customHeight="1" x14ac:dyDescent="0.2">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row>
    <row r="279" spans="2:26" ht="12.75" customHeight="1" x14ac:dyDescent="0.2">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row>
    <row r="280" spans="2:26" ht="12.75" customHeight="1" x14ac:dyDescent="0.2">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row>
    <row r="281" spans="2:26" ht="12.75" customHeight="1" x14ac:dyDescent="0.2">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row>
    <row r="282" spans="2:26" ht="12.75" customHeight="1" x14ac:dyDescent="0.2">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row>
    <row r="283" spans="2:26" ht="12.75" customHeight="1" x14ac:dyDescent="0.2">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row>
    <row r="284" spans="2:26" ht="12.75" customHeight="1" x14ac:dyDescent="0.2">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row>
    <row r="285" spans="2:26" ht="12.75" customHeight="1" x14ac:dyDescent="0.2">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row>
    <row r="286" spans="2:26" ht="12.75" customHeight="1" x14ac:dyDescent="0.2">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row>
    <row r="287" spans="2:26" ht="12.75" customHeight="1" x14ac:dyDescent="0.2">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row>
    <row r="288" spans="2:26" ht="12.75" customHeight="1" x14ac:dyDescent="0.2">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row>
    <row r="289" spans="2:26" ht="12.75" customHeight="1" x14ac:dyDescent="0.2">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row>
    <row r="290" spans="2:26" ht="12.75" customHeight="1" x14ac:dyDescent="0.2">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row>
    <row r="291" spans="2:26" ht="12.75" customHeight="1" x14ac:dyDescent="0.2">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row>
    <row r="292" spans="2:26" ht="12.75" customHeight="1" x14ac:dyDescent="0.2">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row>
    <row r="293" spans="2:26" ht="12.75" customHeight="1" x14ac:dyDescent="0.2">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row>
    <row r="294" spans="2:26" ht="12.75" customHeight="1" x14ac:dyDescent="0.2">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row>
    <row r="295" spans="2:26" ht="12.75" customHeight="1" x14ac:dyDescent="0.2">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row>
    <row r="296" spans="2:26" ht="12.75" customHeight="1" x14ac:dyDescent="0.2">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row>
    <row r="297" spans="2:26" ht="12.75" customHeight="1" x14ac:dyDescent="0.2">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row>
    <row r="298" spans="2:26" ht="12.75" customHeight="1" x14ac:dyDescent="0.2">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row>
    <row r="299" spans="2:26" ht="12.75" customHeight="1" x14ac:dyDescent="0.2">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row>
    <row r="300" spans="2:26" ht="12.75" customHeight="1" x14ac:dyDescent="0.2">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row>
    <row r="301" spans="2:26" ht="12.75" customHeight="1" x14ac:dyDescent="0.2">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row>
    <row r="302" spans="2:26" ht="12.75" customHeight="1" x14ac:dyDescent="0.2">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row>
    <row r="303" spans="2:26" ht="12.75" customHeight="1" x14ac:dyDescent="0.2">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row>
    <row r="304" spans="2:26" ht="12.75" customHeight="1" x14ac:dyDescent="0.2">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row>
    <row r="305" spans="2:26" ht="12.75" customHeight="1" x14ac:dyDescent="0.2">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row>
    <row r="306" spans="2:26" ht="12.75" customHeight="1" x14ac:dyDescent="0.2">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row>
    <row r="307" spans="2:26" ht="12.75" customHeight="1" x14ac:dyDescent="0.2">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row>
    <row r="308" spans="2:26" ht="12.75" customHeight="1" x14ac:dyDescent="0.2">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row>
    <row r="309" spans="2:26" ht="12.75" customHeight="1" x14ac:dyDescent="0.2">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row>
    <row r="310" spans="2:26" ht="12.75" customHeight="1" x14ac:dyDescent="0.2">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row>
    <row r="311" spans="2:26" ht="12.75" customHeight="1" x14ac:dyDescent="0.2">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row>
    <row r="312" spans="2:26" ht="12.75" customHeight="1" x14ac:dyDescent="0.2">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row>
    <row r="313" spans="2:26" ht="12.75" customHeight="1" x14ac:dyDescent="0.2">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row>
    <row r="314" spans="2:26" ht="12.75" customHeight="1" x14ac:dyDescent="0.2">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row>
    <row r="315" spans="2:26" ht="12.75" customHeight="1" x14ac:dyDescent="0.2">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row>
    <row r="316" spans="2:26" ht="12.75" customHeight="1" x14ac:dyDescent="0.2">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row>
    <row r="317" spans="2:26" ht="12.75" customHeight="1" x14ac:dyDescent="0.2">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row>
    <row r="318" spans="2:26" ht="12.75" customHeight="1" x14ac:dyDescent="0.2">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row>
    <row r="319" spans="2:26" ht="12.75" customHeight="1" x14ac:dyDescent="0.2">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row>
    <row r="320" spans="2:26" ht="12.75" customHeight="1" x14ac:dyDescent="0.2">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row>
    <row r="321" spans="2:26" ht="12.75" customHeight="1" x14ac:dyDescent="0.2">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row>
    <row r="322" spans="2:26" ht="12.75" customHeight="1" x14ac:dyDescent="0.2">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row>
    <row r="323" spans="2:26" ht="12.75" customHeight="1" x14ac:dyDescent="0.2">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row>
    <row r="324" spans="2:26" ht="12.75" customHeight="1" x14ac:dyDescent="0.2">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row>
    <row r="325" spans="2:26" ht="12.75" customHeight="1" x14ac:dyDescent="0.2">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row>
    <row r="326" spans="2:26" ht="12.75" customHeight="1" x14ac:dyDescent="0.2">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row>
    <row r="327" spans="2:26" ht="12.75" customHeight="1" x14ac:dyDescent="0.2">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row>
    <row r="328" spans="2:26" ht="12.75" customHeight="1" x14ac:dyDescent="0.2">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row>
    <row r="329" spans="2:26" ht="12.75" customHeight="1" x14ac:dyDescent="0.2">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row>
    <row r="330" spans="2:26" ht="12.75" customHeight="1" x14ac:dyDescent="0.2">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row>
    <row r="331" spans="2:26" ht="12.75" customHeight="1" x14ac:dyDescent="0.2">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row>
    <row r="332" spans="2:26" ht="12.75" customHeight="1" x14ac:dyDescent="0.2">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row>
    <row r="333" spans="2:26" ht="12.75" customHeight="1" x14ac:dyDescent="0.2">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row>
    <row r="334" spans="2:26" ht="12.75" customHeight="1" x14ac:dyDescent="0.2">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row>
    <row r="335" spans="2:26" ht="12.75" customHeight="1" x14ac:dyDescent="0.2">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row>
    <row r="336" spans="2:26" ht="12.75" customHeight="1" x14ac:dyDescent="0.2">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row>
    <row r="337" spans="2:26" ht="12.75" customHeight="1" x14ac:dyDescent="0.2">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row>
    <row r="338" spans="2:26" ht="12.75" customHeight="1" x14ac:dyDescent="0.2">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row>
    <row r="339" spans="2:26" ht="12.75" customHeight="1" x14ac:dyDescent="0.2">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row>
    <row r="340" spans="2:26" ht="12.75" customHeight="1" x14ac:dyDescent="0.2">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row>
    <row r="341" spans="2:26" ht="12.75" customHeight="1" x14ac:dyDescent="0.2">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row>
    <row r="342" spans="2:26" ht="12.75" customHeight="1" x14ac:dyDescent="0.2">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row>
    <row r="343" spans="2:26" ht="12.75" customHeight="1" x14ac:dyDescent="0.2">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row>
    <row r="344" spans="2:26" ht="12.75" customHeight="1" x14ac:dyDescent="0.2">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row>
    <row r="345" spans="2:26" ht="12.75" customHeight="1" x14ac:dyDescent="0.2">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row>
    <row r="346" spans="2:26" ht="12.75" customHeight="1" x14ac:dyDescent="0.2">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row>
    <row r="347" spans="2:26" ht="12.75" customHeight="1" x14ac:dyDescent="0.2">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row>
    <row r="348" spans="2:26" ht="12.75" customHeight="1" x14ac:dyDescent="0.2">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row>
    <row r="349" spans="2:26" ht="12.75" customHeight="1" x14ac:dyDescent="0.2">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row>
    <row r="350" spans="2:26" ht="12.75" customHeight="1" x14ac:dyDescent="0.2">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row>
    <row r="351" spans="2:26" ht="12.75" customHeight="1" x14ac:dyDescent="0.2">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row>
    <row r="352" spans="2:26" ht="12.75" customHeight="1" x14ac:dyDescent="0.2">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row>
    <row r="353" spans="2:26" ht="12.75" customHeight="1" x14ac:dyDescent="0.2">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row>
    <row r="354" spans="2:26" ht="12.75" customHeight="1" x14ac:dyDescent="0.2">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row>
    <row r="355" spans="2:26" ht="12.75" customHeight="1" x14ac:dyDescent="0.2">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row>
    <row r="356" spans="2:26" ht="12.75" customHeight="1" x14ac:dyDescent="0.2">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row>
    <row r="357" spans="2:26" ht="12.75" customHeight="1" x14ac:dyDescent="0.2">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row>
    <row r="358" spans="2:26" ht="12.75" customHeight="1" x14ac:dyDescent="0.2">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row>
    <row r="359" spans="2:26" ht="12.75" customHeight="1" x14ac:dyDescent="0.2">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row>
    <row r="360" spans="2:26" ht="12.75" customHeight="1" x14ac:dyDescent="0.2">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row>
    <row r="361" spans="2:26" ht="12.75" customHeight="1" x14ac:dyDescent="0.2">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row>
    <row r="362" spans="2:26" ht="12.75" customHeight="1" x14ac:dyDescent="0.2">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row>
    <row r="363" spans="2:26" ht="12.75" customHeight="1" x14ac:dyDescent="0.2">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row>
    <row r="364" spans="2:26" ht="12.75" customHeight="1" x14ac:dyDescent="0.2">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row>
    <row r="365" spans="2:26" ht="12.75" customHeight="1" x14ac:dyDescent="0.2">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row>
    <row r="366" spans="2:26" ht="12.75" customHeight="1" x14ac:dyDescent="0.2">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row>
    <row r="367" spans="2:26" ht="12.75" customHeight="1" x14ac:dyDescent="0.2">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row>
    <row r="368" spans="2:26" ht="12.75" customHeight="1" x14ac:dyDescent="0.2">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row>
    <row r="369" spans="2:26" ht="12.75" customHeight="1" x14ac:dyDescent="0.2">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row>
    <row r="370" spans="2:26" ht="12.75" customHeight="1" x14ac:dyDescent="0.2">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row>
    <row r="371" spans="2:26" ht="12.75" customHeight="1" x14ac:dyDescent="0.2">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row>
    <row r="372" spans="2:26" ht="12.75" customHeight="1" x14ac:dyDescent="0.2">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row>
    <row r="373" spans="2:26" ht="12.75" customHeight="1" x14ac:dyDescent="0.2">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row>
    <row r="374" spans="2:26" ht="12.75" customHeight="1" x14ac:dyDescent="0.2">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row>
    <row r="375" spans="2:26" ht="12.75" customHeight="1" x14ac:dyDescent="0.2">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row>
    <row r="376" spans="2:26" ht="12.75" customHeight="1" x14ac:dyDescent="0.2">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row>
    <row r="377" spans="2:26" ht="12.75" customHeight="1" x14ac:dyDescent="0.2">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row>
    <row r="378" spans="2:26" ht="12.75" customHeight="1" x14ac:dyDescent="0.2">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row>
    <row r="379" spans="2:26" ht="12.75" customHeight="1" x14ac:dyDescent="0.2">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row>
    <row r="380" spans="2:26" ht="12.75" customHeight="1" x14ac:dyDescent="0.2">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row>
    <row r="381" spans="2:26" ht="12.75" customHeight="1" x14ac:dyDescent="0.2">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row>
    <row r="382" spans="2:26" ht="12.75" customHeight="1" x14ac:dyDescent="0.2">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row>
    <row r="383" spans="2:26" ht="12.75" customHeight="1" x14ac:dyDescent="0.2">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row>
    <row r="384" spans="2:26" ht="12.75" customHeight="1" x14ac:dyDescent="0.2">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row>
    <row r="385" spans="2:26" ht="12.75" customHeight="1" x14ac:dyDescent="0.2">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row>
    <row r="386" spans="2:26" ht="12.75" customHeight="1" x14ac:dyDescent="0.2">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row>
    <row r="387" spans="2:26" ht="12.75" customHeight="1" x14ac:dyDescent="0.2">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row>
    <row r="388" spans="2:26" ht="12.75" customHeight="1" x14ac:dyDescent="0.2">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row>
    <row r="389" spans="2:26" ht="12.75" customHeight="1" x14ac:dyDescent="0.2">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row>
    <row r="390" spans="2:26" ht="12.75" customHeight="1" x14ac:dyDescent="0.2">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row>
    <row r="391" spans="2:26" ht="12.75" customHeight="1" x14ac:dyDescent="0.2">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row>
    <row r="392" spans="2:26" ht="12.75" customHeight="1" x14ac:dyDescent="0.2">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row>
    <row r="393" spans="2:26" ht="12.75" customHeight="1" x14ac:dyDescent="0.2">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row>
    <row r="394" spans="2:26" ht="12.75" customHeight="1" x14ac:dyDescent="0.2">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row>
    <row r="395" spans="2:26" ht="12.75" customHeight="1" x14ac:dyDescent="0.2">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row>
    <row r="396" spans="2:26" ht="12.75" customHeight="1" x14ac:dyDescent="0.2">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row>
    <row r="397" spans="2:26" ht="12.75" customHeight="1" x14ac:dyDescent="0.2">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row>
    <row r="398" spans="2:26" ht="12.75" customHeight="1" x14ac:dyDescent="0.2">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row>
    <row r="399" spans="2:26" ht="12.75" customHeight="1" x14ac:dyDescent="0.2">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row>
    <row r="400" spans="2:26" ht="12.75" customHeight="1" x14ac:dyDescent="0.2">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row>
    <row r="401" spans="2:26" ht="12.75" customHeight="1" x14ac:dyDescent="0.2">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row>
    <row r="402" spans="2:26" ht="12.75" customHeight="1" x14ac:dyDescent="0.2">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row>
    <row r="403" spans="2:26" ht="12.75" customHeight="1" x14ac:dyDescent="0.2">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row>
    <row r="404" spans="2:26" ht="12.75" customHeight="1" x14ac:dyDescent="0.2">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row>
    <row r="405" spans="2:26" ht="12.75" customHeight="1" x14ac:dyDescent="0.2">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row>
    <row r="406" spans="2:26" ht="12.75" customHeight="1" x14ac:dyDescent="0.2">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row>
    <row r="407" spans="2:26" ht="12.75" customHeight="1" x14ac:dyDescent="0.2">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row>
    <row r="408" spans="2:26" ht="12.75" customHeight="1" x14ac:dyDescent="0.2">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row>
    <row r="409" spans="2:26" ht="12.75" customHeight="1" x14ac:dyDescent="0.2">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row>
    <row r="410" spans="2:26" ht="12.75" customHeight="1" x14ac:dyDescent="0.2">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row>
    <row r="411" spans="2:26" ht="12.75" customHeight="1" x14ac:dyDescent="0.2">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row>
    <row r="412" spans="2:26" ht="12.75" customHeight="1" x14ac:dyDescent="0.2">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row>
    <row r="413" spans="2:26" ht="12.75" customHeight="1" x14ac:dyDescent="0.2">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row>
    <row r="414" spans="2:26" ht="12.75" customHeight="1" x14ac:dyDescent="0.2">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row>
    <row r="415" spans="2:26" ht="12.75" customHeight="1" x14ac:dyDescent="0.2">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row>
    <row r="416" spans="2:26" ht="12.75" customHeight="1" x14ac:dyDescent="0.2">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row>
    <row r="417" spans="2:26" ht="12.75" customHeight="1" x14ac:dyDescent="0.2">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row>
    <row r="418" spans="2:26" ht="12.75" customHeight="1" x14ac:dyDescent="0.2">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row>
    <row r="419" spans="2:26" ht="12.75" customHeight="1" x14ac:dyDescent="0.2">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row>
    <row r="420" spans="2:26" ht="12.75" customHeight="1" x14ac:dyDescent="0.2">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row>
    <row r="421" spans="2:26" ht="12.75" customHeight="1" x14ac:dyDescent="0.2">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row>
    <row r="422" spans="2:26" ht="12.75" customHeight="1" x14ac:dyDescent="0.2">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row>
    <row r="423" spans="2:26" ht="12.75" customHeight="1" x14ac:dyDescent="0.2">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row>
    <row r="424" spans="2:26" ht="12.75" customHeight="1" x14ac:dyDescent="0.2">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row>
    <row r="425" spans="2:26" ht="12.75" customHeight="1" x14ac:dyDescent="0.2">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row>
    <row r="426" spans="2:26" ht="12.75" customHeight="1" x14ac:dyDescent="0.2">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row>
    <row r="427" spans="2:26" ht="12.75" customHeight="1" x14ac:dyDescent="0.2">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row>
    <row r="428" spans="2:26" ht="12.75" customHeight="1" x14ac:dyDescent="0.2">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row>
    <row r="429" spans="2:26" ht="12.75" customHeight="1" x14ac:dyDescent="0.2">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row>
    <row r="430" spans="2:26" ht="12.75" customHeight="1" x14ac:dyDescent="0.2">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row>
    <row r="431" spans="2:26" ht="12.75" customHeight="1" x14ac:dyDescent="0.2">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row>
    <row r="432" spans="2:26" ht="12.75" customHeight="1" x14ac:dyDescent="0.2">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row>
    <row r="433" spans="2:26" ht="12.75" customHeight="1" x14ac:dyDescent="0.2">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row>
    <row r="434" spans="2:26" ht="12.75" customHeight="1" x14ac:dyDescent="0.2">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row>
    <row r="435" spans="2:26" ht="12.75" customHeight="1" x14ac:dyDescent="0.2">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row>
    <row r="436" spans="2:26" ht="12.75" customHeight="1" x14ac:dyDescent="0.2">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row>
    <row r="437" spans="2:26" ht="12.75" customHeight="1" x14ac:dyDescent="0.2">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row>
    <row r="438" spans="2:26" ht="12.75" customHeight="1" x14ac:dyDescent="0.2">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row>
    <row r="439" spans="2:26" ht="12.75" customHeight="1" x14ac:dyDescent="0.2">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row>
    <row r="440" spans="2:26" ht="12.75" customHeight="1" x14ac:dyDescent="0.2">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row>
    <row r="441" spans="2:26" ht="12.75" customHeight="1" x14ac:dyDescent="0.2">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row>
    <row r="442" spans="2:26" ht="12.75" customHeight="1" x14ac:dyDescent="0.2">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row>
    <row r="443" spans="2:26" ht="12.75" customHeight="1" x14ac:dyDescent="0.2">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row>
    <row r="444" spans="2:26" ht="12.75" customHeight="1" x14ac:dyDescent="0.2">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row>
    <row r="445" spans="2:26" ht="12.75" customHeight="1" x14ac:dyDescent="0.2">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row>
    <row r="446" spans="2:26" ht="12.75" customHeight="1" x14ac:dyDescent="0.2">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row>
    <row r="447" spans="2:26" ht="12.75" customHeight="1" x14ac:dyDescent="0.2">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row>
    <row r="448" spans="2:26" ht="12.75" customHeight="1" x14ac:dyDescent="0.2">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row>
    <row r="449" spans="2:26" ht="12.75" customHeight="1" x14ac:dyDescent="0.2">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row>
    <row r="450" spans="2:26" ht="12.75" customHeight="1" x14ac:dyDescent="0.2">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row>
    <row r="451" spans="2:26" ht="12.75" customHeight="1" x14ac:dyDescent="0.2">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row>
    <row r="452" spans="2:26" ht="12.75" customHeight="1" x14ac:dyDescent="0.2">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row>
    <row r="453" spans="2:26" ht="12.75" customHeight="1" x14ac:dyDescent="0.2">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row>
    <row r="454" spans="2:26" ht="12.75" customHeight="1" x14ac:dyDescent="0.2">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row>
    <row r="455" spans="2:26" ht="12.75" customHeight="1" x14ac:dyDescent="0.2">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row>
    <row r="456" spans="2:26" ht="12.75" customHeight="1" x14ac:dyDescent="0.2">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row>
    <row r="457" spans="2:26" ht="12.75" customHeight="1" x14ac:dyDescent="0.2">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row>
    <row r="458" spans="2:26" ht="12.75" customHeight="1" x14ac:dyDescent="0.2">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row>
    <row r="459" spans="2:26" ht="12.75" customHeight="1" x14ac:dyDescent="0.2">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row>
    <row r="460" spans="2:26" ht="12.75" customHeight="1" x14ac:dyDescent="0.2">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row>
    <row r="461" spans="2:26" ht="12.75" customHeight="1" x14ac:dyDescent="0.2">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row>
    <row r="462" spans="2:26" ht="12.75" customHeight="1" x14ac:dyDescent="0.2">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row>
    <row r="463" spans="2:26" ht="12.75" customHeight="1" x14ac:dyDescent="0.2">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row>
    <row r="464" spans="2:26" ht="12.75" customHeight="1" x14ac:dyDescent="0.2">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row>
    <row r="465" spans="2:26" ht="12.75" customHeight="1" x14ac:dyDescent="0.2">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row>
    <row r="466" spans="2:26" ht="12.75" customHeight="1" x14ac:dyDescent="0.2">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row>
    <row r="467" spans="2:26" ht="12.75" customHeight="1" x14ac:dyDescent="0.2">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row>
    <row r="468" spans="2:26" ht="12.75" customHeight="1" x14ac:dyDescent="0.2">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row>
    <row r="469" spans="2:26" ht="12.75" customHeight="1" x14ac:dyDescent="0.2">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row>
    <row r="470" spans="2:26" ht="12.75" customHeight="1" x14ac:dyDescent="0.2">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row>
    <row r="471" spans="2:26" ht="12.75" customHeight="1" x14ac:dyDescent="0.2">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row>
    <row r="472" spans="2:26" ht="12.75" customHeight="1" x14ac:dyDescent="0.2">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row>
    <row r="473" spans="2:26" ht="12.75" customHeight="1" x14ac:dyDescent="0.2">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row>
    <row r="474" spans="2:26" ht="12.75" customHeight="1" x14ac:dyDescent="0.2">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row>
    <row r="475" spans="2:26" ht="12.75" customHeight="1" x14ac:dyDescent="0.2">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row>
    <row r="476" spans="2:26" ht="12.75" customHeight="1" x14ac:dyDescent="0.2">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row>
    <row r="477" spans="2:26" ht="12.75" customHeight="1" x14ac:dyDescent="0.2">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row>
    <row r="478" spans="2:26" ht="12.75" customHeight="1" x14ac:dyDescent="0.2">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row>
    <row r="479" spans="2:26" ht="12.75" customHeight="1" x14ac:dyDescent="0.2">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row>
    <row r="480" spans="2:26" ht="12.75" customHeight="1" x14ac:dyDescent="0.2">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row>
    <row r="481" spans="2:26" ht="12.75" customHeight="1" x14ac:dyDescent="0.2">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row>
    <row r="482" spans="2:26" ht="12.75" customHeight="1" x14ac:dyDescent="0.2">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row>
    <row r="483" spans="2:26" ht="12.75" customHeight="1" x14ac:dyDescent="0.2">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row>
    <row r="484" spans="2:26" ht="12.75" customHeight="1" x14ac:dyDescent="0.2">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row>
    <row r="485" spans="2:26" ht="12.75" customHeight="1" x14ac:dyDescent="0.2">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row>
    <row r="486" spans="2:26" ht="12.75" customHeight="1" x14ac:dyDescent="0.2">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row>
    <row r="487" spans="2:26" ht="12.75" customHeight="1" x14ac:dyDescent="0.2">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row>
    <row r="488" spans="2:26" ht="12.75" customHeight="1" x14ac:dyDescent="0.2">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row>
    <row r="489" spans="2:26" ht="12.75" customHeight="1" x14ac:dyDescent="0.2">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row>
    <row r="490" spans="2:26" ht="12.75" customHeight="1" x14ac:dyDescent="0.2">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row>
    <row r="491" spans="2:26" ht="12.75" customHeight="1" x14ac:dyDescent="0.2">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row>
    <row r="492" spans="2:26" ht="12.75" customHeight="1" x14ac:dyDescent="0.2">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row>
    <row r="493" spans="2:26" ht="12.75" customHeight="1" x14ac:dyDescent="0.2">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row>
    <row r="494" spans="2:26" ht="12.75" customHeight="1" x14ac:dyDescent="0.2">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row>
    <row r="495" spans="2:26" ht="12.75" customHeight="1" x14ac:dyDescent="0.2">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row>
    <row r="496" spans="2:26" ht="12.75" customHeight="1" x14ac:dyDescent="0.2">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row>
    <row r="497" spans="2:26" ht="12.75" customHeight="1" x14ac:dyDescent="0.2">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row>
    <row r="498" spans="2:26" ht="12.75" customHeight="1" x14ac:dyDescent="0.2">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row>
    <row r="499" spans="2:26" ht="12.75" customHeight="1" x14ac:dyDescent="0.2">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row>
    <row r="500" spans="2:26" ht="12.75" customHeight="1" x14ac:dyDescent="0.2">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row>
    <row r="501" spans="2:26" ht="12.75" customHeight="1" x14ac:dyDescent="0.2">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row>
    <row r="502" spans="2:26" ht="12.75" customHeight="1" x14ac:dyDescent="0.2">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row>
    <row r="503" spans="2:26" ht="12.75" customHeight="1" x14ac:dyDescent="0.2">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row>
    <row r="504" spans="2:26" ht="12.75" customHeight="1" x14ac:dyDescent="0.2">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row>
    <row r="505" spans="2:26" ht="12.75" customHeight="1" x14ac:dyDescent="0.2">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row>
    <row r="506" spans="2:26" ht="12.75" customHeight="1" x14ac:dyDescent="0.2">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row>
    <row r="507" spans="2:26" ht="12.75" customHeight="1" x14ac:dyDescent="0.2">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row>
    <row r="508" spans="2:26" ht="12.75" customHeight="1" x14ac:dyDescent="0.2">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row>
    <row r="509" spans="2:26" ht="12.75" customHeight="1" x14ac:dyDescent="0.2">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row>
    <row r="510" spans="2:26" ht="12.75" customHeight="1" x14ac:dyDescent="0.2">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row>
    <row r="511" spans="2:26" ht="12.75" customHeight="1" x14ac:dyDescent="0.2">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row>
    <row r="512" spans="2:26" ht="12.75" customHeight="1" x14ac:dyDescent="0.2">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row>
    <row r="513" spans="2:26" ht="12.75" customHeight="1" x14ac:dyDescent="0.2">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row>
    <row r="514" spans="2:26" ht="12.75" customHeight="1" x14ac:dyDescent="0.2">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row>
    <row r="515" spans="2:26" ht="12.75" customHeight="1" x14ac:dyDescent="0.2">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row>
    <row r="516" spans="2:26" ht="12.75" customHeight="1" x14ac:dyDescent="0.2">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row>
    <row r="517" spans="2:26" ht="12.75" customHeight="1" x14ac:dyDescent="0.2">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row>
    <row r="518" spans="2:26" ht="12.75" customHeight="1" x14ac:dyDescent="0.2">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row>
    <row r="519" spans="2:26" ht="12.75" customHeight="1" x14ac:dyDescent="0.2">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row>
    <row r="520" spans="2:26" ht="12.75" customHeight="1" x14ac:dyDescent="0.2">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row>
    <row r="521" spans="2:26" ht="12.75" customHeight="1" x14ac:dyDescent="0.2">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row>
    <row r="522" spans="2:26" ht="12.75" customHeight="1" x14ac:dyDescent="0.2">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row>
    <row r="523" spans="2:26" ht="12.75" customHeight="1" x14ac:dyDescent="0.2">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row>
    <row r="524" spans="2:26" ht="12.75" customHeight="1" x14ac:dyDescent="0.2">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row>
    <row r="525" spans="2:26" ht="12.75" customHeight="1" x14ac:dyDescent="0.2">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row>
    <row r="526" spans="2:26" ht="12.75" customHeight="1" x14ac:dyDescent="0.2">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row>
    <row r="527" spans="2:26" ht="12.75" customHeight="1" x14ac:dyDescent="0.2">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row>
    <row r="528" spans="2:26" ht="12.75" customHeight="1" x14ac:dyDescent="0.2">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row>
    <row r="529" spans="2:26" ht="12.75" customHeight="1" x14ac:dyDescent="0.2">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row>
    <row r="530" spans="2:26" ht="12.75" customHeight="1" x14ac:dyDescent="0.2">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row>
    <row r="531" spans="2:26" ht="12.75" customHeight="1" x14ac:dyDescent="0.2">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row>
    <row r="532" spans="2:26" ht="12.75" customHeight="1" x14ac:dyDescent="0.2">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row>
    <row r="533" spans="2:26" ht="12.75" customHeight="1" x14ac:dyDescent="0.2">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row>
    <row r="534" spans="2:26" ht="12.75" customHeight="1" x14ac:dyDescent="0.2">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row>
    <row r="535" spans="2:26" ht="12.75" customHeight="1" x14ac:dyDescent="0.2">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row>
    <row r="536" spans="2:26" ht="12.75" customHeight="1" x14ac:dyDescent="0.2">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row>
    <row r="537" spans="2:26" ht="12.75" customHeight="1" x14ac:dyDescent="0.2">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row>
    <row r="538" spans="2:26" ht="12.75" customHeight="1" x14ac:dyDescent="0.2">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row>
    <row r="539" spans="2:26" ht="12.75" customHeight="1" x14ac:dyDescent="0.2">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row>
    <row r="540" spans="2:26" ht="12.75" customHeight="1" x14ac:dyDescent="0.2">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row>
    <row r="541" spans="2:26" ht="12.75" customHeight="1" x14ac:dyDescent="0.2">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row>
    <row r="542" spans="2:26" ht="12.75" customHeight="1" x14ac:dyDescent="0.2">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row>
    <row r="543" spans="2:26" ht="12.75" customHeight="1" x14ac:dyDescent="0.2">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row>
    <row r="544" spans="2:26" ht="12.75" customHeight="1" x14ac:dyDescent="0.2">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row>
    <row r="545" spans="2:26" ht="12.75" customHeight="1" x14ac:dyDescent="0.2">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row>
    <row r="546" spans="2:26" ht="12.75" customHeight="1" x14ac:dyDescent="0.2">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row>
    <row r="547" spans="2:26" ht="12.75" customHeight="1" x14ac:dyDescent="0.2">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row>
    <row r="548" spans="2:26" ht="12.75" customHeight="1" x14ac:dyDescent="0.2">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row>
    <row r="549" spans="2:26" ht="12.75" customHeight="1" x14ac:dyDescent="0.2">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row>
    <row r="550" spans="2:26" ht="12.75" customHeight="1" x14ac:dyDescent="0.2">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row>
    <row r="551" spans="2:26" ht="12.75" customHeight="1" x14ac:dyDescent="0.2">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row>
    <row r="552" spans="2:26" ht="12.75" customHeight="1" x14ac:dyDescent="0.2">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row>
    <row r="553" spans="2:26" ht="12.75" customHeight="1" x14ac:dyDescent="0.2">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row>
    <row r="554" spans="2:26" ht="12.75" customHeight="1" x14ac:dyDescent="0.2">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row>
    <row r="555" spans="2:26" ht="12.75" customHeight="1" x14ac:dyDescent="0.2">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row>
    <row r="556" spans="2:26" ht="12.75" customHeight="1" x14ac:dyDescent="0.2">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row>
    <row r="557" spans="2:26" ht="12.75" customHeight="1" x14ac:dyDescent="0.2">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row>
    <row r="558" spans="2:26" ht="12.75" customHeight="1" x14ac:dyDescent="0.2">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row>
    <row r="559" spans="2:26" ht="12.75" customHeight="1" x14ac:dyDescent="0.2">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row>
    <row r="560" spans="2:26" ht="12.75" customHeight="1" x14ac:dyDescent="0.2">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row>
    <row r="561" spans="2:26" ht="12.75" customHeight="1" x14ac:dyDescent="0.2">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row>
    <row r="562" spans="2:26" ht="12.75" customHeight="1" x14ac:dyDescent="0.2">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row>
    <row r="563" spans="2:26" ht="12.75" customHeight="1" x14ac:dyDescent="0.2">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row>
    <row r="564" spans="2:26" ht="12.75" customHeight="1" x14ac:dyDescent="0.2">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row>
    <row r="565" spans="2:26" ht="12.75" customHeight="1" x14ac:dyDescent="0.2">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row>
    <row r="566" spans="2:26" ht="12.75" customHeight="1" x14ac:dyDescent="0.2">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row>
    <row r="567" spans="2:26" ht="12.75" customHeight="1" x14ac:dyDescent="0.2">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row>
    <row r="568" spans="2:26" ht="12.75" customHeight="1" x14ac:dyDescent="0.2">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row>
    <row r="569" spans="2:26" ht="12.75" customHeight="1" x14ac:dyDescent="0.2">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row>
    <row r="570" spans="2:26" ht="12.75" customHeight="1" x14ac:dyDescent="0.2">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row>
    <row r="571" spans="2:26" ht="12.75" customHeight="1" x14ac:dyDescent="0.2">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row>
    <row r="572" spans="2:26" ht="12.75" customHeight="1" x14ac:dyDescent="0.2">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row>
    <row r="573" spans="2:26" ht="12.75" customHeight="1" x14ac:dyDescent="0.2">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row>
    <row r="574" spans="2:26" ht="12.75" customHeight="1" x14ac:dyDescent="0.2">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row>
    <row r="575" spans="2:26" ht="12.75" customHeight="1" x14ac:dyDescent="0.2">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row>
    <row r="576" spans="2:26" ht="12.75" customHeight="1" x14ac:dyDescent="0.2">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row>
    <row r="577" spans="2:26" ht="12.75" customHeight="1" x14ac:dyDescent="0.2">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row>
    <row r="578" spans="2:26" ht="12.75" customHeight="1" x14ac:dyDescent="0.2">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row>
    <row r="579" spans="2:26" ht="12.75" customHeight="1" x14ac:dyDescent="0.2">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row>
    <row r="580" spans="2:26" ht="12.75" customHeight="1" x14ac:dyDescent="0.2">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row>
    <row r="581" spans="2:26" ht="12.75" customHeight="1" x14ac:dyDescent="0.2">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row>
    <row r="582" spans="2:26" ht="12.75" customHeight="1" x14ac:dyDescent="0.2">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row>
    <row r="583" spans="2:26" ht="12.75" customHeight="1" x14ac:dyDescent="0.2">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row>
    <row r="584" spans="2:26" ht="12.75" customHeight="1" x14ac:dyDescent="0.2">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row>
    <row r="585" spans="2:26" ht="12.75" customHeight="1" x14ac:dyDescent="0.2">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row>
    <row r="586" spans="2:26" ht="12.75" customHeight="1" x14ac:dyDescent="0.2">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row>
    <row r="587" spans="2:26" ht="12.75" customHeight="1" x14ac:dyDescent="0.2">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row>
    <row r="588" spans="2:26" ht="12.75" customHeight="1" x14ac:dyDescent="0.2">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row>
    <row r="589" spans="2:26" ht="12.75" customHeight="1" x14ac:dyDescent="0.2">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row>
    <row r="590" spans="2:26" ht="12.75" customHeight="1" x14ac:dyDescent="0.2">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row>
    <row r="591" spans="2:26" ht="12.75" customHeight="1" x14ac:dyDescent="0.2">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row>
    <row r="592" spans="2:26" ht="12.75" customHeight="1" x14ac:dyDescent="0.2">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row>
    <row r="593" spans="2:26" ht="12.75" customHeight="1" x14ac:dyDescent="0.2">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row>
    <row r="594" spans="2:26" ht="12.75" customHeight="1" x14ac:dyDescent="0.2">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row>
    <row r="595" spans="2:26" ht="12.75" customHeight="1" x14ac:dyDescent="0.2">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row>
    <row r="596" spans="2:26" ht="12.75" customHeight="1" x14ac:dyDescent="0.2">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row>
    <row r="597" spans="2:26" ht="12.75" customHeight="1" x14ac:dyDescent="0.2">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row>
    <row r="598" spans="2:26" ht="12.75" customHeight="1" x14ac:dyDescent="0.2">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row>
    <row r="599" spans="2:26" ht="12.75" customHeight="1" x14ac:dyDescent="0.2">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row>
    <row r="600" spans="2:26" ht="12.75" customHeight="1" x14ac:dyDescent="0.2">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row>
    <row r="601" spans="2:26" ht="12.75" customHeight="1" x14ac:dyDescent="0.2">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row>
    <row r="602" spans="2:26" ht="12.75" customHeight="1" x14ac:dyDescent="0.2">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row>
    <row r="603" spans="2:26" ht="12.75" customHeight="1" x14ac:dyDescent="0.2">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row>
    <row r="604" spans="2:26" ht="12.75" customHeight="1" x14ac:dyDescent="0.2">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row>
    <row r="605" spans="2:26" ht="12.75" customHeight="1" x14ac:dyDescent="0.2">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row>
    <row r="606" spans="2:26" ht="12.75" customHeight="1" x14ac:dyDescent="0.2">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row>
    <row r="607" spans="2:26" ht="12.75" customHeight="1" x14ac:dyDescent="0.2">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row>
    <row r="608" spans="2:26" ht="12.75" customHeight="1" x14ac:dyDescent="0.2">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row>
    <row r="609" spans="2:26" ht="12.75" customHeight="1" x14ac:dyDescent="0.2">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row>
    <row r="610" spans="2:26" ht="12.75" customHeight="1" x14ac:dyDescent="0.2">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row>
    <row r="611" spans="2:26" ht="12.75" customHeight="1" x14ac:dyDescent="0.2">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row>
    <row r="612" spans="2:26" ht="12.75" customHeight="1" x14ac:dyDescent="0.2">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row>
    <row r="613" spans="2:26" ht="12.75" customHeight="1" x14ac:dyDescent="0.2">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row>
    <row r="614" spans="2:26" ht="12.75" customHeight="1" x14ac:dyDescent="0.2">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row>
    <row r="615" spans="2:26" ht="12.75" customHeight="1" x14ac:dyDescent="0.2">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row>
    <row r="616" spans="2:26" ht="12.75" customHeight="1" x14ac:dyDescent="0.2">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row>
    <row r="617" spans="2:26" ht="12.75" customHeight="1" x14ac:dyDescent="0.2">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row>
    <row r="618" spans="2:26" ht="12.75" customHeight="1" x14ac:dyDescent="0.2">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row>
    <row r="619" spans="2:26" ht="12.75" customHeight="1" x14ac:dyDescent="0.2">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row>
    <row r="620" spans="2:26" ht="12.75" customHeight="1" x14ac:dyDescent="0.2">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row>
    <row r="621" spans="2:26" ht="12.75" customHeight="1" x14ac:dyDescent="0.2">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row>
    <row r="622" spans="2:26" ht="12.75" customHeight="1" x14ac:dyDescent="0.2">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row>
    <row r="623" spans="2:26" ht="12.75" customHeight="1" x14ac:dyDescent="0.2">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row>
    <row r="624" spans="2:26" ht="12.75" customHeight="1" x14ac:dyDescent="0.2">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row>
    <row r="625" spans="2:26" ht="12.75" customHeight="1" x14ac:dyDescent="0.2">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row>
    <row r="626" spans="2:26" ht="12.75" customHeight="1" x14ac:dyDescent="0.2">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row>
    <row r="627" spans="2:26" ht="12.75" customHeight="1" x14ac:dyDescent="0.2">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row>
    <row r="628" spans="2:26" ht="12.75" customHeight="1" x14ac:dyDescent="0.2">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row>
    <row r="629" spans="2:26" ht="12.75" customHeight="1" x14ac:dyDescent="0.2">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row>
    <row r="630" spans="2:26" ht="12.75" customHeight="1" x14ac:dyDescent="0.2">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row>
    <row r="631" spans="2:26" ht="12.75" customHeight="1" x14ac:dyDescent="0.2">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row>
    <row r="632" spans="2:26" ht="12.75" customHeight="1" x14ac:dyDescent="0.2">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row>
    <row r="633" spans="2:26" ht="12.75" customHeight="1" x14ac:dyDescent="0.2">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row>
    <row r="634" spans="2:26" ht="12.75" customHeight="1" x14ac:dyDescent="0.2">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row>
    <row r="635" spans="2:26" ht="12.75" customHeight="1" x14ac:dyDescent="0.2">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row>
    <row r="636" spans="2:26" ht="12.75" customHeight="1" x14ac:dyDescent="0.2">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row>
    <row r="637" spans="2:26" ht="12.75" customHeight="1" x14ac:dyDescent="0.2">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row>
    <row r="638" spans="2:26" ht="12.75" customHeight="1" x14ac:dyDescent="0.2">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row>
    <row r="639" spans="2:26" ht="12.75" customHeight="1" x14ac:dyDescent="0.2">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row>
    <row r="640" spans="2:26" ht="12.75" customHeight="1" x14ac:dyDescent="0.2">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row>
    <row r="641" spans="2:26" ht="12.75" customHeight="1" x14ac:dyDescent="0.2">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row>
    <row r="642" spans="2:26" ht="12.75" customHeight="1" x14ac:dyDescent="0.2">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row>
    <row r="643" spans="2:26" ht="12.75" customHeight="1" x14ac:dyDescent="0.2">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row>
    <row r="644" spans="2:26" ht="12.75" customHeight="1" x14ac:dyDescent="0.2">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row>
    <row r="645" spans="2:26" ht="12.75" customHeight="1" x14ac:dyDescent="0.2">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row>
    <row r="646" spans="2:26" ht="12.75" customHeight="1" x14ac:dyDescent="0.2">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row>
    <row r="647" spans="2:26" ht="12.75" customHeight="1" x14ac:dyDescent="0.2">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row>
    <row r="648" spans="2:26" ht="12.75" customHeight="1" x14ac:dyDescent="0.2">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row>
    <row r="649" spans="2:26" ht="12.75" customHeight="1" x14ac:dyDescent="0.2">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row>
    <row r="650" spans="2:26" ht="12.75" customHeight="1" x14ac:dyDescent="0.2">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row>
    <row r="651" spans="2:26" ht="12.75" customHeight="1" x14ac:dyDescent="0.2">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row>
    <row r="652" spans="2:26" ht="12.75" customHeight="1" x14ac:dyDescent="0.2">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row>
    <row r="653" spans="2:26" ht="12.75" customHeight="1" x14ac:dyDescent="0.2">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row>
    <row r="654" spans="2:26" ht="12.75" customHeight="1" x14ac:dyDescent="0.2">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row>
    <row r="655" spans="2:26" ht="12.75" customHeight="1" x14ac:dyDescent="0.2">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row>
    <row r="656" spans="2:26" ht="12.75" customHeight="1" x14ac:dyDescent="0.2">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row>
    <row r="657" spans="2:26" ht="12.75" customHeight="1" x14ac:dyDescent="0.2">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row>
    <row r="658" spans="2:26" ht="12.75" customHeight="1" x14ac:dyDescent="0.2">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row>
    <row r="659" spans="2:26" ht="12.75" customHeight="1" x14ac:dyDescent="0.2">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row>
    <row r="660" spans="2:26" ht="12.75" customHeight="1" x14ac:dyDescent="0.2">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row>
    <row r="661" spans="2:26" ht="12.75" customHeight="1" x14ac:dyDescent="0.2">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row>
    <row r="662" spans="2:26" ht="12.75" customHeight="1" x14ac:dyDescent="0.2">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row>
    <row r="663" spans="2:26" ht="12.75" customHeight="1" x14ac:dyDescent="0.2">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row>
    <row r="664" spans="2:26" ht="12.75" customHeight="1" x14ac:dyDescent="0.2">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row>
    <row r="665" spans="2:26" ht="12.75" customHeight="1" x14ac:dyDescent="0.2">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row>
    <row r="666" spans="2:26" ht="12.75" customHeight="1" x14ac:dyDescent="0.2">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row>
    <row r="667" spans="2:26" ht="12.75" customHeight="1" x14ac:dyDescent="0.2">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row>
    <row r="668" spans="2:26" ht="12.75" customHeight="1" x14ac:dyDescent="0.2">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row>
    <row r="669" spans="2:26" ht="12.75" customHeight="1" x14ac:dyDescent="0.2">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row>
    <row r="670" spans="2:26" ht="12.75" customHeight="1" x14ac:dyDescent="0.2">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row>
    <row r="671" spans="2:26" ht="12.75" customHeight="1" x14ac:dyDescent="0.2">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row>
    <row r="672" spans="2:26" ht="12.75" customHeight="1" x14ac:dyDescent="0.2">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row>
    <row r="673" spans="2:26" ht="12.75" customHeight="1" x14ac:dyDescent="0.2">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row>
    <row r="674" spans="2:26" ht="12.75" customHeight="1" x14ac:dyDescent="0.2">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row>
    <row r="675" spans="2:26" ht="12.75" customHeight="1" x14ac:dyDescent="0.2">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row>
    <row r="676" spans="2:26" ht="12.75" customHeight="1" x14ac:dyDescent="0.2">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row>
    <row r="677" spans="2:26" ht="12.75" customHeight="1" x14ac:dyDescent="0.2">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row>
    <row r="678" spans="2:26" ht="12.75" customHeight="1" x14ac:dyDescent="0.2">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row>
    <row r="679" spans="2:26" ht="12.75" customHeight="1" x14ac:dyDescent="0.2">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row>
    <row r="680" spans="2:26" ht="12.75" customHeight="1" x14ac:dyDescent="0.2">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row>
    <row r="681" spans="2:26" ht="12.75" customHeight="1" x14ac:dyDescent="0.2">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row>
    <row r="682" spans="2:26" ht="12.75" customHeight="1" x14ac:dyDescent="0.2">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row>
    <row r="683" spans="2:26" ht="12.75" customHeight="1" x14ac:dyDescent="0.2">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row>
    <row r="684" spans="2:26" ht="12.75" customHeight="1" x14ac:dyDescent="0.2">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row>
    <row r="685" spans="2:26" ht="12.75" customHeight="1" x14ac:dyDescent="0.2">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row>
    <row r="686" spans="2:26" ht="12.75" customHeight="1" x14ac:dyDescent="0.2">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row>
    <row r="687" spans="2:26" ht="12.75" customHeight="1" x14ac:dyDescent="0.2">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row>
    <row r="688" spans="2:26" ht="12.75" customHeight="1" x14ac:dyDescent="0.2">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row>
    <row r="689" spans="2:26" ht="12.75" customHeight="1" x14ac:dyDescent="0.2">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row>
    <row r="690" spans="2:26" ht="12.75" customHeight="1" x14ac:dyDescent="0.2">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row>
    <row r="691" spans="2:26" ht="12.75" customHeight="1" x14ac:dyDescent="0.2">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row>
    <row r="692" spans="2:26" ht="12.75" customHeight="1" x14ac:dyDescent="0.2">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row>
    <row r="693" spans="2:26" ht="12.75" customHeight="1" x14ac:dyDescent="0.2">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row>
    <row r="694" spans="2:26" ht="12.75" customHeight="1" x14ac:dyDescent="0.2">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row>
    <row r="695" spans="2:26" ht="12.75" customHeight="1" x14ac:dyDescent="0.2">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row>
    <row r="696" spans="2:26" ht="12.75" customHeight="1" x14ac:dyDescent="0.2">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row>
    <row r="697" spans="2:26" ht="12.75" customHeight="1" x14ac:dyDescent="0.2">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row>
    <row r="698" spans="2:26" ht="12.75" customHeight="1" x14ac:dyDescent="0.2">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row>
    <row r="699" spans="2:26" ht="12.75" customHeight="1" x14ac:dyDescent="0.2">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row>
    <row r="700" spans="2:26" ht="12.75" customHeight="1" x14ac:dyDescent="0.2">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row>
    <row r="701" spans="2:26" ht="12.75" customHeight="1" x14ac:dyDescent="0.2">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row>
    <row r="702" spans="2:26" ht="12.75" customHeight="1" x14ac:dyDescent="0.2">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row>
    <row r="703" spans="2:26" ht="12.75" customHeight="1" x14ac:dyDescent="0.2">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row>
    <row r="704" spans="2:26" ht="12.75" customHeight="1" x14ac:dyDescent="0.2">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row>
    <row r="705" spans="2:26" ht="12.75" customHeight="1" x14ac:dyDescent="0.2">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row>
    <row r="706" spans="2:26" ht="12.75" customHeight="1" x14ac:dyDescent="0.2">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row>
    <row r="707" spans="2:26" ht="12.75" customHeight="1" x14ac:dyDescent="0.2">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row>
    <row r="708" spans="2:26" ht="12.75" customHeight="1" x14ac:dyDescent="0.2">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row>
    <row r="709" spans="2:26" ht="12.75" customHeight="1" x14ac:dyDescent="0.2">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row>
    <row r="710" spans="2:26" ht="12.75" customHeight="1" x14ac:dyDescent="0.2">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row>
    <row r="711" spans="2:26" ht="12.75" customHeight="1" x14ac:dyDescent="0.2">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row>
    <row r="712" spans="2:26" ht="12.75" customHeight="1" x14ac:dyDescent="0.2">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row>
    <row r="713" spans="2:26" ht="12.75" customHeight="1" x14ac:dyDescent="0.2">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row>
    <row r="714" spans="2:26" ht="12.75" customHeight="1" x14ac:dyDescent="0.2">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row>
    <row r="715" spans="2:26" ht="12.75" customHeight="1" x14ac:dyDescent="0.2">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row>
    <row r="716" spans="2:26" ht="12.75" customHeight="1" x14ac:dyDescent="0.2">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row>
    <row r="717" spans="2:26" ht="12.75" customHeight="1" x14ac:dyDescent="0.2">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row>
    <row r="718" spans="2:26" ht="12.75" customHeight="1" x14ac:dyDescent="0.2">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row>
    <row r="719" spans="2:26" ht="12.75" customHeight="1" x14ac:dyDescent="0.2">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row>
    <row r="720" spans="2:26" ht="12.75" customHeight="1" x14ac:dyDescent="0.2">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row>
    <row r="721" spans="2:26" ht="12.75" customHeight="1" x14ac:dyDescent="0.2">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row>
    <row r="722" spans="2:26" ht="12.75" customHeight="1" x14ac:dyDescent="0.2">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row>
    <row r="723" spans="2:26" ht="12.75" customHeight="1" x14ac:dyDescent="0.2">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row>
    <row r="724" spans="2:26" ht="12.75" customHeight="1" x14ac:dyDescent="0.2">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row>
    <row r="725" spans="2:26" ht="12.75" customHeight="1" x14ac:dyDescent="0.2">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row>
    <row r="726" spans="2:26" ht="12.75" customHeight="1" x14ac:dyDescent="0.2">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row>
    <row r="727" spans="2:26" ht="12.75" customHeight="1" x14ac:dyDescent="0.2">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row>
    <row r="728" spans="2:26" ht="12.75" customHeight="1" x14ac:dyDescent="0.2">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row>
    <row r="729" spans="2:26" ht="12.75" customHeight="1" x14ac:dyDescent="0.2">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row>
    <row r="730" spans="2:26" ht="12.75" customHeight="1" x14ac:dyDescent="0.2">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row>
    <row r="731" spans="2:26" ht="12.75" customHeight="1" x14ac:dyDescent="0.2">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row>
    <row r="732" spans="2:26" ht="12.75" customHeight="1" x14ac:dyDescent="0.2">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row>
    <row r="733" spans="2:26" ht="12.75" customHeight="1" x14ac:dyDescent="0.2">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row>
    <row r="734" spans="2:26" ht="12.75" customHeight="1" x14ac:dyDescent="0.2">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row>
    <row r="735" spans="2:26" ht="12.75" customHeight="1" x14ac:dyDescent="0.2">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row>
    <row r="736" spans="2:26" ht="12.75" customHeight="1" x14ac:dyDescent="0.2">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row>
    <row r="737" spans="2:26" ht="12.75" customHeight="1" x14ac:dyDescent="0.2">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row>
    <row r="738" spans="2:26" ht="12.75" customHeight="1" x14ac:dyDescent="0.2">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row>
    <row r="739" spans="2:26" ht="12.75" customHeight="1" x14ac:dyDescent="0.2">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row>
    <row r="740" spans="2:26" ht="12.75" customHeight="1" x14ac:dyDescent="0.2">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row>
    <row r="741" spans="2:26" ht="12.75" customHeight="1" x14ac:dyDescent="0.2">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row>
    <row r="742" spans="2:26" ht="12.75" customHeight="1" x14ac:dyDescent="0.2">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row>
    <row r="743" spans="2:26" ht="12.75" customHeight="1" x14ac:dyDescent="0.2">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row>
    <row r="744" spans="2:26" ht="12.75" customHeight="1" x14ac:dyDescent="0.2">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row>
    <row r="745" spans="2:26" ht="12.75" customHeight="1" x14ac:dyDescent="0.2">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row>
    <row r="746" spans="2:26" ht="12.75" customHeight="1" x14ac:dyDescent="0.2">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row>
    <row r="747" spans="2:26" ht="12.75" customHeight="1" x14ac:dyDescent="0.2">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row>
    <row r="748" spans="2:26" ht="12.75" customHeight="1" x14ac:dyDescent="0.2">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row>
    <row r="749" spans="2:26" ht="12.75" customHeight="1" x14ac:dyDescent="0.2">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row>
    <row r="750" spans="2:26" ht="12.75" customHeight="1" x14ac:dyDescent="0.2">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row>
    <row r="751" spans="2:26" ht="12.75" customHeight="1" x14ac:dyDescent="0.2">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row>
    <row r="752" spans="2:26" ht="12.75" customHeight="1" x14ac:dyDescent="0.2">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row>
    <row r="753" spans="2:26" ht="12.75" customHeight="1" x14ac:dyDescent="0.2">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row>
    <row r="754" spans="2:26" ht="12.75" customHeight="1" x14ac:dyDescent="0.2">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row>
    <row r="755" spans="2:26" ht="12.75" customHeight="1" x14ac:dyDescent="0.2">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row>
    <row r="756" spans="2:26" ht="12.75" customHeight="1" x14ac:dyDescent="0.2">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row>
    <row r="757" spans="2:26" ht="12.75" customHeight="1" x14ac:dyDescent="0.2">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row>
    <row r="758" spans="2:26" ht="12.75" customHeight="1" x14ac:dyDescent="0.2">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row>
    <row r="759" spans="2:26" ht="12.75" customHeight="1" x14ac:dyDescent="0.2">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row>
    <row r="760" spans="2:26" ht="12.75" customHeight="1" x14ac:dyDescent="0.2">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row>
    <row r="761" spans="2:26" ht="12.75" customHeight="1" x14ac:dyDescent="0.2">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row>
    <row r="762" spans="2:26" ht="12.75" customHeight="1" x14ac:dyDescent="0.2">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row>
    <row r="763" spans="2:26" ht="12.75" customHeight="1" x14ac:dyDescent="0.2">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row>
    <row r="764" spans="2:26" ht="12.75" customHeight="1" x14ac:dyDescent="0.2">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row>
    <row r="765" spans="2:26" ht="12.75" customHeight="1" x14ac:dyDescent="0.2">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row>
    <row r="766" spans="2:26" ht="12.75" customHeight="1" x14ac:dyDescent="0.2">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row>
    <row r="767" spans="2:26" ht="12.75" customHeight="1" x14ac:dyDescent="0.2">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row>
    <row r="768" spans="2:26" ht="12.75" customHeight="1" x14ac:dyDescent="0.2">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row>
    <row r="769" spans="2:26" ht="12.75" customHeight="1" x14ac:dyDescent="0.2">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row>
    <row r="770" spans="2:26" ht="12.75" customHeight="1" x14ac:dyDescent="0.2">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row>
    <row r="771" spans="2:26" ht="12.75" customHeight="1" x14ac:dyDescent="0.2">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row>
    <row r="772" spans="2:26" ht="12.75" customHeight="1" x14ac:dyDescent="0.2">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row>
    <row r="773" spans="2:26" ht="12.75" customHeight="1" x14ac:dyDescent="0.2">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row>
    <row r="774" spans="2:26" ht="12.75" customHeight="1" x14ac:dyDescent="0.2">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row>
    <row r="775" spans="2:26" ht="12.75" customHeight="1" x14ac:dyDescent="0.2">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row>
    <row r="776" spans="2:26" ht="12.75" customHeight="1" x14ac:dyDescent="0.2">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row>
    <row r="777" spans="2:26" ht="12.75" customHeight="1" x14ac:dyDescent="0.2">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row>
    <row r="778" spans="2:26" ht="12.75" customHeight="1" x14ac:dyDescent="0.2">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row>
    <row r="779" spans="2:26" ht="12.75" customHeight="1" x14ac:dyDescent="0.2">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row>
    <row r="780" spans="2:26" ht="12.75" customHeight="1" x14ac:dyDescent="0.2">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row>
    <row r="781" spans="2:26" ht="12.75" customHeight="1" x14ac:dyDescent="0.2">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row>
    <row r="782" spans="2:26" ht="12.75" customHeight="1" x14ac:dyDescent="0.2">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row>
    <row r="783" spans="2:26" ht="12.75" customHeight="1" x14ac:dyDescent="0.2">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row>
    <row r="784" spans="2:26" ht="12.75" customHeight="1" x14ac:dyDescent="0.2">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row>
    <row r="785" spans="2:26" ht="12.75" customHeight="1" x14ac:dyDescent="0.2">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row>
    <row r="786" spans="2:26" ht="12.75" customHeight="1" x14ac:dyDescent="0.2">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row>
    <row r="787" spans="2:26" ht="12.75" customHeight="1" x14ac:dyDescent="0.2">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row>
    <row r="788" spans="2:26" ht="12.75" customHeight="1" x14ac:dyDescent="0.2">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row>
    <row r="789" spans="2:26" ht="12.75" customHeight="1" x14ac:dyDescent="0.2">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row>
    <row r="790" spans="2:26" ht="12.75" customHeight="1" x14ac:dyDescent="0.2">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row>
    <row r="791" spans="2:26" ht="12.75" customHeight="1" x14ac:dyDescent="0.2">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row>
    <row r="792" spans="2:26" ht="12.75" customHeight="1" x14ac:dyDescent="0.2">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row>
    <row r="793" spans="2:26" ht="12.75" customHeight="1" x14ac:dyDescent="0.2">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row>
    <row r="794" spans="2:26" ht="12.75" customHeight="1" x14ac:dyDescent="0.2">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row>
    <row r="795" spans="2:26" ht="12.75" customHeight="1" x14ac:dyDescent="0.2">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row>
    <row r="796" spans="2:26" ht="12.75" customHeight="1" x14ac:dyDescent="0.2">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row>
    <row r="797" spans="2:26" ht="12.75" customHeight="1" x14ac:dyDescent="0.2">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row>
    <row r="798" spans="2:26" ht="12.75" customHeight="1" x14ac:dyDescent="0.2">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row>
    <row r="799" spans="2:26" ht="12.75" customHeight="1" x14ac:dyDescent="0.2">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row>
    <row r="800" spans="2:26" ht="12.75" customHeight="1" x14ac:dyDescent="0.2">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row>
    <row r="801" spans="2:26" ht="12.75" customHeight="1" x14ac:dyDescent="0.2">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row>
    <row r="802" spans="2:26" ht="12.75" customHeight="1" x14ac:dyDescent="0.2">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row>
    <row r="803" spans="2:26" ht="12.75" customHeight="1" x14ac:dyDescent="0.2">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row>
    <row r="804" spans="2:26" ht="12.75" customHeight="1" x14ac:dyDescent="0.2">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row>
    <row r="805" spans="2:26" ht="12.75" customHeight="1" x14ac:dyDescent="0.2">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row>
    <row r="806" spans="2:26" ht="12.75" customHeight="1" x14ac:dyDescent="0.2">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row>
    <row r="807" spans="2:26" ht="12.75" customHeight="1" x14ac:dyDescent="0.2">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row>
    <row r="808" spans="2:26" ht="12.75" customHeight="1" x14ac:dyDescent="0.2">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row>
    <row r="809" spans="2:26" ht="12.75" customHeight="1" x14ac:dyDescent="0.2">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row>
    <row r="810" spans="2:26" ht="12.75" customHeight="1" x14ac:dyDescent="0.2">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row>
    <row r="811" spans="2:26" ht="12.75" customHeight="1" x14ac:dyDescent="0.2">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row>
    <row r="812" spans="2:26" ht="12.75" customHeight="1" x14ac:dyDescent="0.2">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row>
    <row r="813" spans="2:26" ht="12.75" customHeight="1" x14ac:dyDescent="0.2">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row>
    <row r="814" spans="2:26" ht="12.75" customHeight="1" x14ac:dyDescent="0.2">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row>
    <row r="815" spans="2:26" ht="12.75" customHeight="1" x14ac:dyDescent="0.2">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row>
    <row r="816" spans="2:26" ht="12.75" customHeight="1" x14ac:dyDescent="0.2">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row>
    <row r="817" spans="2:26" ht="12.75" customHeight="1" x14ac:dyDescent="0.2">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row>
    <row r="818" spans="2:26" ht="12.75" customHeight="1" x14ac:dyDescent="0.2">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row>
    <row r="819" spans="2:26" ht="12.75" customHeight="1" x14ac:dyDescent="0.2">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row>
    <row r="820" spans="2:26" ht="12.75" customHeight="1" x14ac:dyDescent="0.2">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row>
    <row r="821" spans="2:26" ht="12.75" customHeight="1" x14ac:dyDescent="0.2">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row>
    <row r="822" spans="2:26" ht="12.75" customHeight="1" x14ac:dyDescent="0.2">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row>
    <row r="823" spans="2:26" ht="12.75" customHeight="1" x14ac:dyDescent="0.2">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row>
    <row r="824" spans="2:26" ht="12.75" customHeight="1" x14ac:dyDescent="0.2">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row>
    <row r="825" spans="2:26" ht="12.75" customHeight="1" x14ac:dyDescent="0.2">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row>
    <row r="826" spans="2:26" ht="12.75" customHeight="1" x14ac:dyDescent="0.2">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row>
    <row r="827" spans="2:26" ht="12.75" customHeight="1" x14ac:dyDescent="0.2">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row>
    <row r="828" spans="2:26" ht="12.75" customHeight="1" x14ac:dyDescent="0.2">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row>
    <row r="829" spans="2:26" ht="12.75" customHeight="1" x14ac:dyDescent="0.2">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row>
    <row r="830" spans="2:26" ht="12.75" customHeight="1" x14ac:dyDescent="0.2">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row>
    <row r="831" spans="2:26" ht="12.75" customHeight="1" x14ac:dyDescent="0.2">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row>
    <row r="832" spans="2:26" ht="12.75" customHeight="1" x14ac:dyDescent="0.2">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row>
    <row r="833" spans="2:26" ht="12.75" customHeight="1" x14ac:dyDescent="0.2">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row>
    <row r="834" spans="2:26" ht="12.75" customHeight="1" x14ac:dyDescent="0.2">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row>
    <row r="835" spans="2:26" ht="12.75" customHeight="1" x14ac:dyDescent="0.2">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row>
    <row r="836" spans="2:26" ht="12.75" customHeight="1" x14ac:dyDescent="0.2">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row>
    <row r="837" spans="2:26" ht="12.75" customHeight="1" x14ac:dyDescent="0.2">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row>
    <row r="838" spans="2:26" ht="12.75" customHeight="1" x14ac:dyDescent="0.2">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row>
    <row r="839" spans="2:26" ht="12.75" customHeight="1" x14ac:dyDescent="0.2">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row>
    <row r="840" spans="2:26" ht="12.75" customHeight="1" x14ac:dyDescent="0.2">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row>
    <row r="841" spans="2:26" ht="12.75" customHeight="1" x14ac:dyDescent="0.2">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row>
    <row r="842" spans="2:26" ht="12.75" customHeight="1" x14ac:dyDescent="0.2">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row>
    <row r="843" spans="2:26" ht="12.75" customHeight="1" x14ac:dyDescent="0.2">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row>
    <row r="844" spans="2:26" ht="12.75" customHeight="1" x14ac:dyDescent="0.2">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row>
    <row r="845" spans="2:26" ht="12.75" customHeight="1" x14ac:dyDescent="0.2">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row>
    <row r="846" spans="2:26" ht="12.75" customHeight="1" x14ac:dyDescent="0.2">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row>
    <row r="847" spans="2:26" ht="12.75" customHeight="1" x14ac:dyDescent="0.2">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row>
    <row r="848" spans="2:26" ht="12.75" customHeight="1" x14ac:dyDescent="0.2">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row>
    <row r="849" spans="2:26" ht="12.75" customHeight="1" x14ac:dyDescent="0.2">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row>
    <row r="850" spans="2:26" ht="12.75" customHeight="1" x14ac:dyDescent="0.2">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row>
    <row r="851" spans="2:26" ht="12.75" customHeight="1" x14ac:dyDescent="0.2">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row>
    <row r="852" spans="2:26" ht="12.75" customHeight="1" x14ac:dyDescent="0.2">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row>
    <row r="853" spans="2:26" ht="12.75" customHeight="1" x14ac:dyDescent="0.2">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row>
    <row r="854" spans="2:26" ht="12.75" customHeight="1" x14ac:dyDescent="0.2">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row>
    <row r="855" spans="2:26" ht="12.75" customHeight="1" x14ac:dyDescent="0.2">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row>
    <row r="856" spans="2:26" ht="12.75" customHeight="1" x14ac:dyDescent="0.2">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row>
    <row r="857" spans="2:26" ht="12.75" customHeight="1" x14ac:dyDescent="0.2">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row>
    <row r="858" spans="2:26" ht="12.75" customHeight="1" x14ac:dyDescent="0.2">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row>
    <row r="859" spans="2:26" ht="12.75" customHeight="1" x14ac:dyDescent="0.2">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row>
    <row r="860" spans="2:26" ht="12.75" customHeight="1" x14ac:dyDescent="0.2">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row>
    <row r="861" spans="2:26" ht="12.75" customHeight="1" x14ac:dyDescent="0.2">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row>
    <row r="862" spans="2:26" ht="12.75" customHeight="1" x14ac:dyDescent="0.2">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row>
    <row r="863" spans="2:26" ht="12.75" customHeight="1" x14ac:dyDescent="0.2">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row>
    <row r="864" spans="2:26" ht="12.75" customHeight="1" x14ac:dyDescent="0.2">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row>
    <row r="865" spans="2:26" ht="12.75" customHeight="1" x14ac:dyDescent="0.2">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row>
    <row r="866" spans="2:26" ht="12.75" customHeight="1" x14ac:dyDescent="0.2">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row>
    <row r="867" spans="2:26" ht="12.75" customHeight="1" x14ac:dyDescent="0.2">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row>
    <row r="868" spans="2:26" ht="12.75" customHeight="1" x14ac:dyDescent="0.2">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row>
    <row r="869" spans="2:26" ht="12.75" customHeight="1" x14ac:dyDescent="0.2">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row>
    <row r="870" spans="2:26" ht="12.75" customHeight="1" x14ac:dyDescent="0.2">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row>
    <row r="871" spans="2:26" ht="12.75" customHeight="1" x14ac:dyDescent="0.2">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row>
    <row r="872" spans="2:26" ht="12.75" customHeight="1" x14ac:dyDescent="0.2">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row>
    <row r="873" spans="2:26" ht="12.75" customHeight="1" x14ac:dyDescent="0.2">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row>
    <row r="874" spans="2:26" ht="12.75" customHeight="1" x14ac:dyDescent="0.2">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row>
    <row r="875" spans="2:26" ht="12.75" customHeight="1" x14ac:dyDescent="0.2">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row>
    <row r="876" spans="2:26" ht="12.75" customHeight="1" x14ac:dyDescent="0.2">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row>
    <row r="877" spans="2:26" ht="12.75" customHeight="1" x14ac:dyDescent="0.2">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row>
    <row r="878" spans="2:26" ht="12.75" customHeight="1" x14ac:dyDescent="0.2">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row>
    <row r="879" spans="2:26" ht="12.75" customHeight="1" x14ac:dyDescent="0.2">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row>
    <row r="880" spans="2:26" ht="12.75" customHeight="1" x14ac:dyDescent="0.2">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row>
    <row r="881" spans="2:26" ht="12.75" customHeight="1" x14ac:dyDescent="0.2">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row>
    <row r="882" spans="2:26" ht="12.75" customHeight="1" x14ac:dyDescent="0.2">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row>
    <row r="883" spans="2:26" ht="12.75" customHeight="1" x14ac:dyDescent="0.2">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row>
    <row r="884" spans="2:26" ht="12.75" customHeight="1" x14ac:dyDescent="0.2">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row>
    <row r="885" spans="2:26" ht="12.75" customHeight="1" x14ac:dyDescent="0.2">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row>
    <row r="886" spans="2:26" ht="12.75" customHeight="1" x14ac:dyDescent="0.2">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row>
    <row r="887" spans="2:26" ht="12.75" customHeight="1" x14ac:dyDescent="0.2">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row>
    <row r="888" spans="2:26" ht="12.75" customHeight="1" x14ac:dyDescent="0.2">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row>
    <row r="889" spans="2:26" ht="12.75" customHeight="1" x14ac:dyDescent="0.2">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row>
    <row r="890" spans="2:26" ht="12.75" customHeight="1" x14ac:dyDescent="0.2">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row>
    <row r="891" spans="2:26" ht="12.75" customHeight="1" x14ac:dyDescent="0.2">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row>
    <row r="892" spans="2:26" ht="12.75" customHeight="1" x14ac:dyDescent="0.2">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row>
    <row r="893" spans="2:26" ht="12.75" customHeight="1" x14ac:dyDescent="0.2">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row>
    <row r="894" spans="2:26" ht="12.75" customHeight="1" x14ac:dyDescent="0.2">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row>
    <row r="895" spans="2:26" ht="12.75" customHeight="1" x14ac:dyDescent="0.2">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row>
    <row r="896" spans="2:26" ht="12.75" customHeight="1" x14ac:dyDescent="0.2">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row>
    <row r="897" spans="2:26" ht="12.75" customHeight="1" x14ac:dyDescent="0.2">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row>
    <row r="898" spans="2:26" ht="12.75" customHeight="1" x14ac:dyDescent="0.2">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row>
    <row r="899" spans="2:26" ht="12.75" customHeight="1" x14ac:dyDescent="0.2">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row>
    <row r="900" spans="2:26" ht="12.75" customHeight="1" x14ac:dyDescent="0.2">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row>
    <row r="901" spans="2:26" ht="12.75" customHeight="1" x14ac:dyDescent="0.2">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row>
    <row r="902" spans="2:26" ht="12.75" customHeight="1" x14ac:dyDescent="0.2">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row>
    <row r="903" spans="2:26" ht="12.75" customHeight="1" x14ac:dyDescent="0.2">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row>
    <row r="904" spans="2:26" ht="12.75" customHeight="1" x14ac:dyDescent="0.2">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row>
    <row r="905" spans="2:26" ht="12.75" customHeight="1" x14ac:dyDescent="0.2">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row>
    <row r="906" spans="2:26" ht="12.75" customHeight="1" x14ac:dyDescent="0.2">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row>
    <row r="907" spans="2:26" ht="12.75" customHeight="1" x14ac:dyDescent="0.2">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row>
    <row r="908" spans="2:26" ht="12.75" customHeight="1" x14ac:dyDescent="0.2">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row>
    <row r="909" spans="2:26" ht="12.75" customHeight="1" x14ac:dyDescent="0.2">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row>
    <row r="910" spans="2:26" ht="12.75" customHeight="1" x14ac:dyDescent="0.2">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row>
    <row r="911" spans="2:26" ht="12.75" customHeight="1" x14ac:dyDescent="0.2">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row>
    <row r="912" spans="2:26" ht="12.75" customHeight="1" x14ac:dyDescent="0.2">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row>
    <row r="913" spans="2:26" ht="12.75" customHeight="1" x14ac:dyDescent="0.2">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row>
    <row r="914" spans="2:26" ht="12.75" customHeight="1" x14ac:dyDescent="0.2">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row>
    <row r="915" spans="2:26" ht="12.75" customHeight="1" x14ac:dyDescent="0.2">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row>
    <row r="916" spans="2:26" ht="12.75" customHeight="1" x14ac:dyDescent="0.2">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row>
    <row r="917" spans="2:26" ht="12.75" customHeight="1" x14ac:dyDescent="0.2">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row>
    <row r="918" spans="2:26" ht="12.75" customHeight="1" x14ac:dyDescent="0.2">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row>
    <row r="919" spans="2:26" ht="12.75" customHeight="1" x14ac:dyDescent="0.2">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row>
    <row r="920" spans="2:26" ht="12.75" customHeight="1" x14ac:dyDescent="0.2">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row>
    <row r="921" spans="2:26" ht="12.75" customHeight="1" x14ac:dyDescent="0.2">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row>
    <row r="922" spans="2:26" ht="12.75" customHeight="1" x14ac:dyDescent="0.2">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row>
    <row r="923" spans="2:26" ht="12.75" customHeight="1" x14ac:dyDescent="0.2">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row>
    <row r="924" spans="2:26" ht="12.75" customHeight="1" x14ac:dyDescent="0.2">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row>
    <row r="925" spans="2:26" ht="12.75" customHeight="1" x14ac:dyDescent="0.2">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row>
    <row r="926" spans="2:26" ht="12.75" customHeight="1" x14ac:dyDescent="0.2">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row>
    <row r="927" spans="2:26" ht="12.75" customHeight="1" x14ac:dyDescent="0.2">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row>
    <row r="928" spans="2:26" ht="12.75" customHeight="1" x14ac:dyDescent="0.2">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row>
    <row r="929" spans="2:26" ht="12.75" customHeight="1" x14ac:dyDescent="0.2">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row>
    <row r="930" spans="2:26" ht="12.75" customHeight="1" x14ac:dyDescent="0.2">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row>
    <row r="931" spans="2:26" ht="12.75" customHeight="1" x14ac:dyDescent="0.2">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row>
    <row r="932" spans="2:26" ht="12.75" customHeight="1" x14ac:dyDescent="0.2">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row>
    <row r="933" spans="2:26" ht="12.75" customHeight="1" x14ac:dyDescent="0.2">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row>
    <row r="934" spans="2:26" ht="12.75" customHeight="1" x14ac:dyDescent="0.2">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row>
    <row r="935" spans="2:26" ht="12.75" customHeight="1" x14ac:dyDescent="0.2">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row>
    <row r="936" spans="2:26" ht="12.75" customHeight="1" x14ac:dyDescent="0.2">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row>
    <row r="937" spans="2:26" ht="12.75" customHeight="1" x14ac:dyDescent="0.2">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row>
    <row r="938" spans="2:26" ht="12.75" customHeight="1" x14ac:dyDescent="0.2">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row>
    <row r="939" spans="2:26" ht="12.75" customHeight="1" x14ac:dyDescent="0.2">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row>
    <row r="940" spans="2:26" ht="12.75" customHeight="1" x14ac:dyDescent="0.2">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row>
    <row r="941" spans="2:26" ht="12.75" customHeight="1" x14ac:dyDescent="0.2">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row>
    <row r="942" spans="2:26" ht="12.75" customHeight="1" x14ac:dyDescent="0.2">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row>
    <row r="943" spans="2:26" ht="12.75" customHeight="1" x14ac:dyDescent="0.2">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row>
    <row r="944" spans="2:26" ht="12.75" customHeight="1" x14ac:dyDescent="0.2">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row>
    <row r="945" spans="2:26" ht="12.75" customHeight="1" x14ac:dyDescent="0.2">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row>
    <row r="946" spans="2:26" ht="12.75" customHeight="1" x14ac:dyDescent="0.2">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row>
    <row r="947" spans="2:26" ht="12.75" customHeight="1" x14ac:dyDescent="0.2">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row>
    <row r="948" spans="2:26" ht="12.75" customHeight="1" x14ac:dyDescent="0.2">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row>
    <row r="949" spans="2:26" ht="12.75" customHeight="1" x14ac:dyDescent="0.2">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row>
    <row r="950" spans="2:26" ht="12.75" customHeight="1" x14ac:dyDescent="0.2">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row>
    <row r="951" spans="2:26" ht="12.75" customHeight="1" x14ac:dyDescent="0.2">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row>
    <row r="952" spans="2:26" ht="12.75" customHeight="1" x14ac:dyDescent="0.2">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row>
    <row r="953" spans="2:26" ht="12.75" customHeight="1" x14ac:dyDescent="0.2">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row>
    <row r="954" spans="2:26" ht="12.75" customHeight="1" x14ac:dyDescent="0.2">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row>
    <row r="955" spans="2:26" ht="12.75" customHeight="1" x14ac:dyDescent="0.2">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row>
    <row r="956" spans="2:26" ht="12.75" customHeight="1" x14ac:dyDescent="0.2">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row>
    <row r="957" spans="2:26" ht="12.75" customHeight="1" x14ac:dyDescent="0.2">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row>
    <row r="958" spans="2:26" ht="12.75" customHeight="1" x14ac:dyDescent="0.2">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row>
    <row r="959" spans="2:26" ht="12.75" customHeight="1" x14ac:dyDescent="0.2">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row>
    <row r="960" spans="2:26" ht="12.75" customHeight="1" x14ac:dyDescent="0.2">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row>
    <row r="961" spans="2:26" ht="12.75" customHeight="1" x14ac:dyDescent="0.2">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row>
    <row r="962" spans="2:26" ht="12.75" customHeight="1" x14ac:dyDescent="0.2">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row>
    <row r="963" spans="2:26" ht="12.75" customHeight="1" x14ac:dyDescent="0.2">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row>
    <row r="964" spans="2:26" ht="12.75" customHeight="1" x14ac:dyDescent="0.2">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row>
    <row r="965" spans="2:26" ht="12.75" customHeight="1" x14ac:dyDescent="0.2">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row>
    <row r="966" spans="2:26" ht="12.75" customHeight="1" x14ac:dyDescent="0.2">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row>
    <row r="967" spans="2:26" ht="12.75" customHeight="1" x14ac:dyDescent="0.2">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row>
    <row r="968" spans="2:26" ht="12.75" customHeight="1" x14ac:dyDescent="0.2">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row>
    <row r="969" spans="2:26" ht="12.75" customHeight="1" x14ac:dyDescent="0.2">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row>
    <row r="970" spans="2:26" ht="12.75" customHeight="1" x14ac:dyDescent="0.2">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row>
    <row r="971" spans="2:26" ht="12.75" customHeight="1" x14ac:dyDescent="0.2">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row>
    <row r="972" spans="2:26" ht="12.75" customHeight="1" x14ac:dyDescent="0.2">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row>
    <row r="973" spans="2:26" ht="12.75" customHeight="1" x14ac:dyDescent="0.2">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row>
    <row r="974" spans="2:26" ht="12.75" customHeight="1" x14ac:dyDescent="0.2">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row>
    <row r="975" spans="2:26" ht="12.75" customHeight="1" x14ac:dyDescent="0.2">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row>
    <row r="976" spans="2:26" ht="12.75" customHeight="1" x14ac:dyDescent="0.2">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row>
    <row r="977" spans="2:26" ht="12.75" customHeight="1" x14ac:dyDescent="0.2">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row>
    <row r="978" spans="2:26" ht="12.75" customHeight="1" x14ac:dyDescent="0.2">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row>
    <row r="979" spans="2:26" ht="12.75" customHeight="1" x14ac:dyDescent="0.2">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row>
    <row r="980" spans="2:26" ht="12.75" customHeight="1" x14ac:dyDescent="0.2">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row>
    <row r="981" spans="2:26" ht="12.75" customHeight="1" x14ac:dyDescent="0.2">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row>
    <row r="982" spans="2:26" ht="12.75" customHeight="1" x14ac:dyDescent="0.2">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row>
    <row r="983" spans="2:26" ht="12.75" customHeight="1" x14ac:dyDescent="0.2">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row>
    <row r="984" spans="2:26" ht="12.75" customHeight="1" x14ac:dyDescent="0.2">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row>
    <row r="985" spans="2:26" ht="12.75" customHeight="1" x14ac:dyDescent="0.2">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row>
    <row r="986" spans="2:26" ht="12.75" customHeight="1" x14ac:dyDescent="0.2">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row>
    <row r="987" spans="2:26" ht="12.75" customHeight="1" x14ac:dyDescent="0.2">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row>
    <row r="988" spans="2:26" ht="12.75" customHeight="1" x14ac:dyDescent="0.2">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row>
    <row r="989" spans="2:26" ht="12.75" customHeight="1" x14ac:dyDescent="0.2">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row>
    <row r="990" spans="2:26" ht="12.75" customHeight="1" x14ac:dyDescent="0.2">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row>
    <row r="991" spans="2:26" ht="12.75" customHeight="1" x14ac:dyDescent="0.2">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row>
    <row r="992" spans="2:26" ht="12.75" customHeight="1" x14ac:dyDescent="0.2">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row>
    <row r="993" spans="2:26" ht="12.75" customHeight="1" x14ac:dyDescent="0.2">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row>
    <row r="994" spans="2:26" ht="12.75" customHeight="1" x14ac:dyDescent="0.2">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row>
    <row r="995" spans="2:26" ht="12.75" customHeight="1" x14ac:dyDescent="0.2">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row>
    <row r="996" spans="2:26" ht="12.75" customHeight="1" x14ac:dyDescent="0.2">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row>
    <row r="997" spans="2:26" ht="12.75" customHeight="1" x14ac:dyDescent="0.2">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row>
    <row r="998" spans="2:26" ht="12.75" customHeight="1" x14ac:dyDescent="0.2">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row>
    <row r="999" spans="2:26" ht="12.75" customHeight="1" x14ac:dyDescent="0.2">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row>
    <row r="1000" spans="2:26" ht="12.75" customHeight="1" x14ac:dyDescent="0.2">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row>
    <row r="1001" spans="2:26" ht="12.75" customHeight="1" x14ac:dyDescent="0.2">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row>
    <row r="1002" spans="2:26" ht="12.75" customHeight="1" x14ac:dyDescent="0.2">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row>
  </sheetData>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3A00A-87FC-429F-928E-AF8595C68A63}">
  <sheetPr>
    <tabColor theme="3" tint="0.59999389629810485"/>
  </sheetPr>
  <dimension ref="A1"/>
  <sheetViews>
    <sheetView workbookViewId="0">
      <selection activeCell="M40" sqref="M40"/>
    </sheetView>
  </sheetViews>
  <sheetFormatPr defaultColWidth="8.875" defaultRowHeight="14.25"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1F81-39A4-4F52-85E6-D08DCF53C9C9}">
  <dimension ref="B3:O194"/>
  <sheetViews>
    <sheetView showGridLines="0" topLeftCell="A143" zoomScale="110" zoomScaleNormal="85" workbookViewId="0">
      <selection activeCell="B174" sqref="B174"/>
    </sheetView>
  </sheetViews>
  <sheetFormatPr defaultColWidth="8.625" defaultRowHeight="12.6" customHeight="1" outlineLevelRow="1" x14ac:dyDescent="0.2"/>
  <cols>
    <col min="1" max="1" width="8.625" style="8"/>
    <col min="2" max="2" width="24" style="8" bestFit="1" customWidth="1"/>
    <col min="3" max="4" width="10.125" style="8" bestFit="1" customWidth="1"/>
    <col min="5" max="9" width="11.875" style="8" customWidth="1"/>
    <col min="10" max="13" width="15.625" style="8" customWidth="1"/>
    <col min="14" max="16384" width="8.625" style="8"/>
  </cols>
  <sheetData>
    <row r="3" spans="2:13" ht="13.5" customHeight="1" x14ac:dyDescent="0.2">
      <c r="B3" s="232" t="s">
        <v>397</v>
      </c>
      <c r="C3" s="233"/>
      <c r="D3" s="233"/>
      <c r="E3" s="233"/>
      <c r="F3" s="233"/>
      <c r="G3" s="233"/>
      <c r="H3" s="233"/>
      <c r="I3" s="233"/>
      <c r="J3"/>
      <c r="K3"/>
      <c r="L3"/>
    </row>
    <row r="4" spans="2:13" ht="12.6" customHeight="1" x14ac:dyDescent="0.2">
      <c r="J4"/>
      <c r="K4"/>
      <c r="L4"/>
    </row>
    <row r="5" spans="2:13" ht="13.5" customHeight="1" x14ac:dyDescent="0.35">
      <c r="B5" s="234" t="s">
        <v>103</v>
      </c>
      <c r="C5" s="234"/>
      <c r="D5" s="234"/>
      <c r="E5" s="235" t="s">
        <v>106</v>
      </c>
      <c r="F5" s="235" t="s">
        <v>108</v>
      </c>
      <c r="G5" s="235" t="s">
        <v>109</v>
      </c>
      <c r="H5" s="235" t="s">
        <v>50</v>
      </c>
      <c r="I5" s="235" t="s">
        <v>110</v>
      </c>
      <c r="J5" s="10"/>
      <c r="K5" s="235"/>
    </row>
    <row r="6" spans="2:13" ht="4.3499999999999996" customHeight="1" x14ac:dyDescent="0.2">
      <c r="B6" s="236"/>
      <c r="C6" s="236"/>
      <c r="D6" s="236"/>
      <c r="E6" s="236"/>
      <c r="F6" s="236"/>
      <c r="G6" s="236"/>
      <c r="H6" s="236"/>
      <c r="I6" s="236"/>
      <c r="K6" s="236"/>
    </row>
    <row r="7" spans="2:13" ht="15" customHeight="1" x14ac:dyDescent="0.2">
      <c r="B7" s="8" t="s">
        <v>104</v>
      </c>
      <c r="E7" s="19" t="s">
        <v>107</v>
      </c>
      <c r="F7" s="245">
        <v>21.724409000000001</v>
      </c>
      <c r="G7" s="246">
        <v>0.21</v>
      </c>
      <c r="H7" s="247">
        <v>0</v>
      </c>
      <c r="I7" s="247">
        <v>1300.893153</v>
      </c>
    </row>
    <row r="8" spans="2:13" ht="15" customHeight="1" x14ac:dyDescent="0.2">
      <c r="B8" s="8" t="s">
        <v>112</v>
      </c>
      <c r="E8" s="19" t="s">
        <v>114</v>
      </c>
      <c r="F8" s="245">
        <v>21.817378999999999</v>
      </c>
      <c r="G8" s="246">
        <v>0.21</v>
      </c>
      <c r="H8" s="247">
        <v>0</v>
      </c>
      <c r="I8" s="247">
        <v>22421.506461000001</v>
      </c>
    </row>
    <row r="9" spans="2:13" ht="15" customHeight="1" x14ac:dyDescent="0.2">
      <c r="B9" s="8" t="s">
        <v>116</v>
      </c>
      <c r="E9" s="19" t="s">
        <v>118</v>
      </c>
      <c r="F9" s="245">
        <v>13.377848</v>
      </c>
      <c r="G9" s="246">
        <v>0.21</v>
      </c>
      <c r="H9" s="248">
        <v>0</v>
      </c>
      <c r="I9" s="248">
        <v>2860.405162</v>
      </c>
    </row>
    <row r="10" spans="2:13" ht="15" customHeight="1" x14ac:dyDescent="0.2">
      <c r="B10" s="8" t="s">
        <v>120</v>
      </c>
      <c r="E10" s="19" t="s">
        <v>122</v>
      </c>
      <c r="F10" s="245">
        <v>15.198214999999999</v>
      </c>
      <c r="G10" s="246">
        <v>0.21</v>
      </c>
      <c r="H10" s="248">
        <v>7562.828125</v>
      </c>
      <c r="I10" s="248">
        <v>17870.140981</v>
      </c>
    </row>
    <row r="11" spans="2:13" ht="15" customHeight="1" x14ac:dyDescent="0.2">
      <c r="B11" s="8" t="s">
        <v>124</v>
      </c>
      <c r="E11" s="19" t="s">
        <v>126</v>
      </c>
      <c r="F11" s="245">
        <v>16.294606999999999</v>
      </c>
      <c r="G11" s="246">
        <v>0.21</v>
      </c>
      <c r="H11" s="248">
        <v>177.99499499999999</v>
      </c>
      <c r="I11" s="248">
        <v>3008.5111940000002</v>
      </c>
    </row>
    <row r="12" spans="2:13" ht="15" customHeight="1" x14ac:dyDescent="0.2">
      <c r="B12" s="8" t="s">
        <v>128</v>
      </c>
      <c r="E12" s="19" t="s">
        <v>130</v>
      </c>
      <c r="F12" s="245">
        <v>21.030992999999999</v>
      </c>
      <c r="G12" s="246">
        <v>0.21</v>
      </c>
      <c r="H12" s="248">
        <v>29533</v>
      </c>
      <c r="I12" s="248">
        <v>428204.360277</v>
      </c>
    </row>
    <row r="13" spans="2:13" ht="15" customHeight="1" x14ac:dyDescent="0.2"/>
    <row r="14" spans="2:13" ht="15" customHeight="1" outlineLevel="1" x14ac:dyDescent="0.2">
      <c r="B14" s="237"/>
      <c r="C14" s="237"/>
      <c r="D14" s="237"/>
      <c r="E14" s="237"/>
      <c r="F14" s="237"/>
      <c r="G14" s="237"/>
      <c r="H14" s="237"/>
      <c r="I14" s="237"/>
      <c r="J14" s="237"/>
      <c r="K14" s="237"/>
      <c r="L14" s="237"/>
      <c r="M14" s="237" t="s">
        <v>398</v>
      </c>
    </row>
    <row r="15" spans="2:13" ht="15" customHeight="1" outlineLevel="1" x14ac:dyDescent="0.2">
      <c r="B15" s="237" t="s">
        <v>399</v>
      </c>
      <c r="C15" s="237"/>
      <c r="D15" s="237"/>
      <c r="E15" s="237"/>
      <c r="F15" s="237" t="s">
        <v>400</v>
      </c>
      <c r="G15" s="237"/>
      <c r="H15" s="237"/>
      <c r="I15" s="237" t="s">
        <v>401</v>
      </c>
      <c r="J15" s="237" t="s">
        <v>329</v>
      </c>
      <c r="K15" s="237" t="s">
        <v>402</v>
      </c>
      <c r="L15" s="237" t="s">
        <v>402</v>
      </c>
      <c r="M15" s="237" t="s">
        <v>403</v>
      </c>
    </row>
    <row r="16" spans="2:13" ht="15" customHeight="1" outlineLevel="1" x14ac:dyDescent="0.2">
      <c r="B16" s="237" t="s">
        <v>404</v>
      </c>
      <c r="C16" s="237"/>
      <c r="D16" s="237"/>
      <c r="E16" s="237" t="s">
        <v>106</v>
      </c>
      <c r="F16" s="237" t="s">
        <v>405</v>
      </c>
      <c r="G16" s="237" t="s">
        <v>406</v>
      </c>
      <c r="H16" s="237" t="s">
        <v>407</v>
      </c>
      <c r="I16" s="237" t="s">
        <v>408</v>
      </c>
      <c r="J16" s="237" t="s">
        <v>409</v>
      </c>
      <c r="K16" s="237" t="s">
        <v>410</v>
      </c>
      <c r="L16" s="237" t="s">
        <v>411</v>
      </c>
      <c r="M16" s="237" t="s">
        <v>412</v>
      </c>
    </row>
    <row r="17" spans="2:13" ht="12.6" customHeight="1" outlineLevel="1" x14ac:dyDescent="0.2">
      <c r="B17" s="238" t="s">
        <v>413</v>
      </c>
      <c r="C17" s="238"/>
      <c r="D17" s="238"/>
      <c r="E17" s="238" t="s">
        <v>414</v>
      </c>
      <c r="F17" s="238" t="s">
        <v>415</v>
      </c>
      <c r="G17" s="239">
        <v>21.701640999999999</v>
      </c>
      <c r="H17" s="239">
        <v>23.723769999999998</v>
      </c>
      <c r="I17" s="240">
        <v>219.51800499999999</v>
      </c>
      <c r="J17" s="240">
        <v>2099.3336530000001</v>
      </c>
      <c r="K17" s="238" t="s">
        <v>416</v>
      </c>
      <c r="L17" s="238" t="s">
        <v>417</v>
      </c>
      <c r="M17" s="240">
        <v>32.965530000000001</v>
      </c>
    </row>
    <row r="18" spans="2:13" ht="12.6" customHeight="1" outlineLevel="1" x14ac:dyDescent="0.2">
      <c r="B18" s="241" t="s">
        <v>104</v>
      </c>
      <c r="C18" s="241"/>
      <c r="D18" s="241"/>
      <c r="E18" s="241" t="s">
        <v>418</v>
      </c>
      <c r="F18" s="241" t="s">
        <v>415</v>
      </c>
      <c r="G18" s="242">
        <v>21.724409000000001</v>
      </c>
      <c r="H18" s="242">
        <v>23.449314000000001</v>
      </c>
      <c r="I18" s="241" t="s">
        <v>419</v>
      </c>
      <c r="J18" s="243">
        <v>1300.893153</v>
      </c>
      <c r="K18" s="241" t="s">
        <v>420</v>
      </c>
      <c r="L18" s="241" t="s">
        <v>421</v>
      </c>
      <c r="M18" s="243">
        <v>18.523083</v>
      </c>
    </row>
    <row r="19" spans="2:13" ht="12.6" customHeight="1" outlineLevel="1" x14ac:dyDescent="0.2">
      <c r="B19" s="238" t="s">
        <v>116</v>
      </c>
      <c r="C19" s="238"/>
      <c r="D19" s="238"/>
      <c r="E19" s="238" t="s">
        <v>422</v>
      </c>
      <c r="F19" s="238" t="s">
        <v>415</v>
      </c>
      <c r="G19" s="239">
        <v>13.377848</v>
      </c>
      <c r="H19" s="239">
        <v>14.040381</v>
      </c>
      <c r="I19" s="240">
        <v>0</v>
      </c>
      <c r="J19" s="240">
        <v>2860.405162</v>
      </c>
      <c r="K19" s="238" t="s">
        <v>420</v>
      </c>
      <c r="L19" s="238" t="s">
        <v>423</v>
      </c>
      <c r="M19" s="240">
        <v>5.4216179999999996</v>
      </c>
    </row>
    <row r="20" spans="2:13" ht="12.6" customHeight="1" outlineLevel="1" x14ac:dyDescent="0.2">
      <c r="B20" s="241" t="s">
        <v>112</v>
      </c>
      <c r="C20" s="241"/>
      <c r="D20" s="241"/>
      <c r="E20" s="241" t="s">
        <v>424</v>
      </c>
      <c r="F20" s="241" t="s">
        <v>415</v>
      </c>
      <c r="G20" s="242">
        <v>21.817378999999999</v>
      </c>
      <c r="H20" s="242">
        <v>24.215906</v>
      </c>
      <c r="I20" s="241" t="s">
        <v>419</v>
      </c>
      <c r="J20" s="243">
        <v>22421.506461000001</v>
      </c>
      <c r="K20" s="241" t="s">
        <v>420</v>
      </c>
      <c r="L20" s="241" t="s">
        <v>425</v>
      </c>
      <c r="M20" s="243">
        <v>30.482071000000001</v>
      </c>
    </row>
    <row r="21" spans="2:13" ht="15" customHeight="1" outlineLevel="1" x14ac:dyDescent="0.2">
      <c r="B21" s="238" t="s">
        <v>426</v>
      </c>
      <c r="C21" s="238"/>
      <c r="D21" s="238"/>
      <c r="E21" s="238" t="s">
        <v>427</v>
      </c>
      <c r="F21" s="238" t="s">
        <v>428</v>
      </c>
      <c r="G21" s="239">
        <v>17.541322999999998</v>
      </c>
      <c r="H21" s="239">
        <v>21.534441000000001</v>
      </c>
      <c r="I21" s="238" t="s">
        <v>419</v>
      </c>
      <c r="J21" s="240">
        <v>2368.846732</v>
      </c>
      <c r="K21" s="238" t="s">
        <v>416</v>
      </c>
      <c r="L21" s="238" t="s">
        <v>429</v>
      </c>
      <c r="M21" s="240">
        <v>70.618224999999995</v>
      </c>
    </row>
    <row r="22" spans="2:13" ht="15" customHeight="1" outlineLevel="1" x14ac:dyDescent="0.2">
      <c r="B22" s="241" t="s">
        <v>430</v>
      </c>
      <c r="C22" s="241"/>
      <c r="D22" s="241"/>
      <c r="E22" s="241" t="s">
        <v>431</v>
      </c>
      <c r="F22" s="241" t="s">
        <v>415</v>
      </c>
      <c r="G22" s="242">
        <v>22.674976000000001</v>
      </c>
      <c r="H22" s="242">
        <v>31.246435000000002</v>
      </c>
      <c r="I22" s="243">
        <v>143.03999300000001</v>
      </c>
      <c r="J22" s="243">
        <v>2784.5744840000002</v>
      </c>
      <c r="K22" s="241" t="s">
        <v>432</v>
      </c>
      <c r="L22" s="241" t="s">
        <v>432</v>
      </c>
      <c r="M22" s="243">
        <v>67.235336000000004</v>
      </c>
    </row>
    <row r="23" spans="2:13" ht="15" customHeight="1" outlineLevel="1" x14ac:dyDescent="0.2">
      <c r="B23" s="238" t="s">
        <v>124</v>
      </c>
      <c r="C23" s="238"/>
      <c r="D23" s="238"/>
      <c r="E23" s="238" t="s">
        <v>433</v>
      </c>
      <c r="F23" s="238" t="s">
        <v>434</v>
      </c>
      <c r="G23" s="239">
        <v>16.294606999999999</v>
      </c>
      <c r="H23" s="239">
        <v>18.495450999999999</v>
      </c>
      <c r="I23" s="240">
        <v>177.99499499999999</v>
      </c>
      <c r="J23" s="240">
        <v>3008.5111940000002</v>
      </c>
      <c r="K23" s="238" t="s">
        <v>435</v>
      </c>
      <c r="L23" s="238" t="s">
        <v>436</v>
      </c>
      <c r="M23" s="240">
        <v>27.16169</v>
      </c>
    </row>
    <row r="24" spans="2:13" ht="15" customHeight="1" outlineLevel="1" x14ac:dyDescent="0.2">
      <c r="B24" s="241" t="s">
        <v>437</v>
      </c>
      <c r="C24" s="241"/>
      <c r="D24" s="241"/>
      <c r="E24" s="241" t="s">
        <v>438</v>
      </c>
      <c r="F24" s="241" t="s">
        <v>439</v>
      </c>
      <c r="G24" s="242">
        <v>14.972775</v>
      </c>
      <c r="H24" s="242">
        <v>16.23077</v>
      </c>
      <c r="I24" s="243">
        <v>111.34699999999999</v>
      </c>
      <c r="J24" s="243">
        <v>1305.8926039999999</v>
      </c>
      <c r="K24" s="241" t="s">
        <v>440</v>
      </c>
      <c r="L24" s="241" t="s">
        <v>441</v>
      </c>
      <c r="M24" s="243">
        <v>9.8195979999999992</v>
      </c>
    </row>
    <row r="25" spans="2:13" ht="15" customHeight="1" outlineLevel="1" x14ac:dyDescent="0.2">
      <c r="B25" s="238" t="s">
        <v>442</v>
      </c>
      <c r="C25" s="238"/>
      <c r="D25" s="238"/>
      <c r="E25" s="238" t="s">
        <v>443</v>
      </c>
      <c r="F25" s="238" t="s">
        <v>415</v>
      </c>
      <c r="G25" s="239">
        <v>5.7164229999999998</v>
      </c>
      <c r="H25" s="239">
        <v>5.9042019999999997</v>
      </c>
      <c r="I25" s="240">
        <v>555.29400599999997</v>
      </c>
      <c r="J25" s="240">
        <v>728.66800599999999</v>
      </c>
      <c r="K25" s="238" t="s">
        <v>444</v>
      </c>
      <c r="L25" s="238" t="s">
        <v>444</v>
      </c>
      <c r="M25" s="244">
        <v>-48.480331</v>
      </c>
    </row>
    <row r="26" spans="2:13" ht="15" customHeight="1" outlineLevel="1" x14ac:dyDescent="0.2">
      <c r="B26" s="241" t="s">
        <v>120</v>
      </c>
      <c r="C26" s="241"/>
      <c r="D26" s="241"/>
      <c r="E26" s="241" t="s">
        <v>445</v>
      </c>
      <c r="F26" s="241" t="s">
        <v>415</v>
      </c>
      <c r="G26" s="242">
        <v>15.198214999999999</v>
      </c>
      <c r="H26" s="242">
        <v>15.85805</v>
      </c>
      <c r="I26" s="243">
        <v>7562.828125</v>
      </c>
      <c r="J26" s="243">
        <v>17870.140981</v>
      </c>
      <c r="K26" s="241" t="s">
        <v>420</v>
      </c>
      <c r="L26" s="241" t="s">
        <v>425</v>
      </c>
      <c r="M26" s="243">
        <v>29.633265999999999</v>
      </c>
    </row>
    <row r="27" spans="2:13" ht="15" customHeight="1" outlineLevel="1" x14ac:dyDescent="0.2">
      <c r="B27" s="238" t="s">
        <v>446</v>
      </c>
      <c r="C27" s="238"/>
      <c r="D27" s="238"/>
      <c r="E27" s="238" t="s">
        <v>447</v>
      </c>
      <c r="F27" s="238" t="s">
        <v>439</v>
      </c>
      <c r="G27" s="239">
        <v>10.140397999999999</v>
      </c>
      <c r="H27" s="239">
        <v>11.039966</v>
      </c>
      <c r="I27" s="240">
        <v>8156</v>
      </c>
      <c r="J27" s="240">
        <v>19255.011713</v>
      </c>
      <c r="K27" s="238" t="s">
        <v>448</v>
      </c>
      <c r="L27" s="238" t="s">
        <v>448</v>
      </c>
      <c r="M27" s="240">
        <v>93.633246999999997</v>
      </c>
    </row>
    <row r="28" spans="2:13" ht="15" customHeight="1" outlineLevel="1" x14ac:dyDescent="0.2">
      <c r="B28" s="241" t="s">
        <v>128</v>
      </c>
      <c r="C28" s="241"/>
      <c r="D28" s="241"/>
      <c r="E28" s="241" t="s">
        <v>449</v>
      </c>
      <c r="F28" s="241" t="s">
        <v>450</v>
      </c>
      <c r="G28" s="242">
        <v>21.030992999999999</v>
      </c>
      <c r="H28" s="242">
        <v>23.301264</v>
      </c>
      <c r="I28" s="243">
        <v>29533</v>
      </c>
      <c r="J28" s="243">
        <v>428204.360277</v>
      </c>
      <c r="K28" s="241" t="s">
        <v>435</v>
      </c>
      <c r="L28" s="241" t="s">
        <v>436</v>
      </c>
      <c r="M28" s="243">
        <v>27.112690000000001</v>
      </c>
    </row>
    <row r="29" spans="2:13" ht="15" customHeight="1" outlineLevel="1" x14ac:dyDescent="0.2">
      <c r="B29" s="238" t="s">
        <v>451</v>
      </c>
      <c r="C29" s="238"/>
      <c r="D29" s="238"/>
      <c r="E29" s="238" t="s">
        <v>452</v>
      </c>
      <c r="F29" s="238" t="s">
        <v>415</v>
      </c>
      <c r="G29" s="239">
        <v>14.689886</v>
      </c>
      <c r="H29" s="239">
        <v>24.761906</v>
      </c>
      <c r="I29" s="238" t="s">
        <v>419</v>
      </c>
      <c r="J29" s="240">
        <v>601.62536</v>
      </c>
      <c r="K29" s="238" t="s">
        <v>435</v>
      </c>
      <c r="L29" s="238" t="s">
        <v>436</v>
      </c>
      <c r="M29" s="240">
        <v>113.136368</v>
      </c>
    </row>
    <row r="30" spans="2:13" ht="15" customHeight="1" outlineLevel="1" x14ac:dyDescent="0.2">
      <c r="B30" s="241" t="s">
        <v>453</v>
      </c>
      <c r="C30" s="241"/>
      <c r="D30" s="241"/>
      <c r="E30" s="241" t="s">
        <v>454</v>
      </c>
      <c r="F30" s="241" t="s">
        <v>415</v>
      </c>
      <c r="G30" s="242">
        <v>42.612976000000003</v>
      </c>
      <c r="H30" s="242">
        <v>45.324897999999997</v>
      </c>
      <c r="I30" s="243">
        <v>496.89999399999999</v>
      </c>
      <c r="J30" s="243">
        <v>116702.724783</v>
      </c>
      <c r="K30" s="241" t="s">
        <v>420</v>
      </c>
      <c r="L30" s="241" t="s">
        <v>425</v>
      </c>
      <c r="M30" s="243">
        <v>158.62910500000001</v>
      </c>
    </row>
    <row r="31" spans="2:13" ht="15" customHeight="1" outlineLevel="1" x14ac:dyDescent="0.2">
      <c r="B31" s="238" t="s">
        <v>455</v>
      </c>
      <c r="C31" s="238"/>
      <c r="D31" s="238"/>
      <c r="E31" s="238" t="s">
        <v>456</v>
      </c>
      <c r="F31" s="238" t="s">
        <v>457</v>
      </c>
      <c r="G31" s="239">
        <v>28.919066999999998</v>
      </c>
      <c r="H31" s="239">
        <v>93.537368999999998</v>
      </c>
      <c r="I31" s="240">
        <v>3229.843018</v>
      </c>
      <c r="J31" s="240">
        <v>46684.055538000001</v>
      </c>
      <c r="K31" s="238" t="s">
        <v>458</v>
      </c>
      <c r="L31" s="238" t="s">
        <v>458</v>
      </c>
      <c r="M31" s="240">
        <v>76.686119000000005</v>
      </c>
    </row>
    <row r="32" spans="2:13" ht="15" customHeight="1" outlineLevel="1" x14ac:dyDescent="0.2">
      <c r="B32" s="241" t="s">
        <v>459</v>
      </c>
      <c r="C32" s="241"/>
      <c r="D32" s="241"/>
      <c r="E32" s="241" t="s">
        <v>460</v>
      </c>
      <c r="F32" s="241" t="s">
        <v>461</v>
      </c>
      <c r="G32" s="242">
        <v>7.1435560000000002</v>
      </c>
      <c r="H32" s="242">
        <v>7.7484070000000003</v>
      </c>
      <c r="I32" s="243">
        <v>1292.1469729999999</v>
      </c>
      <c r="J32" s="243">
        <v>1898.7881150000001</v>
      </c>
      <c r="K32" s="241" t="s">
        <v>462</v>
      </c>
      <c r="L32" s="241" t="s">
        <v>463</v>
      </c>
      <c r="M32" s="243">
        <v>110.932175</v>
      </c>
    </row>
    <row r="33" spans="2:13" ht="15" customHeight="1" outlineLevel="1" x14ac:dyDescent="0.2">
      <c r="B33" s="238" t="s">
        <v>464</v>
      </c>
      <c r="C33" s="238"/>
      <c r="D33" s="238"/>
      <c r="E33" s="238" t="s">
        <v>465</v>
      </c>
      <c r="F33" s="238" t="s">
        <v>466</v>
      </c>
      <c r="G33" s="239">
        <v>78.111221</v>
      </c>
      <c r="H33" s="239">
        <v>83.308441000000002</v>
      </c>
      <c r="I33" s="240">
        <v>0</v>
      </c>
      <c r="J33" s="240">
        <v>279493.48</v>
      </c>
      <c r="K33" s="238" t="s">
        <v>420</v>
      </c>
      <c r="L33" s="238" t="s">
        <v>425</v>
      </c>
      <c r="M33" s="240">
        <v>166.008713</v>
      </c>
    </row>
    <row r="34" spans="2:13" ht="15" customHeight="1" x14ac:dyDescent="0.2"/>
    <row r="35" spans="2:13" ht="15" customHeight="1" x14ac:dyDescent="0.2"/>
    <row r="36" spans="2:13" ht="15" customHeight="1" x14ac:dyDescent="0.2"/>
    <row r="37" spans="2:13" ht="15" customHeight="1" x14ac:dyDescent="0.2"/>
    <row r="82" spans="2:15" ht="12.6" customHeight="1" x14ac:dyDescent="0.2">
      <c r="B82" s="341" t="s">
        <v>467</v>
      </c>
    </row>
    <row r="83" spans="2:15" ht="12.6" customHeight="1" x14ac:dyDescent="0.2">
      <c r="B83" s="8" t="s">
        <v>468</v>
      </c>
      <c r="C83" s="8">
        <v>72.609020999999998</v>
      </c>
      <c r="D83" s="8" t="s">
        <v>469</v>
      </c>
    </row>
    <row r="84" spans="2:15" ht="12.6" customHeight="1" x14ac:dyDescent="0.2">
      <c r="B84" s="8" t="s">
        <v>470</v>
      </c>
      <c r="C84" s="340">
        <v>24.7</v>
      </c>
    </row>
    <row r="85" spans="2:15" ht="12.6" customHeight="1" x14ac:dyDescent="0.2">
      <c r="B85" s="8" t="s">
        <v>471</v>
      </c>
      <c r="C85" s="340">
        <v>38000000</v>
      </c>
    </row>
    <row r="86" spans="2:15" ht="12.6" customHeight="1" x14ac:dyDescent="0.2">
      <c r="B86" s="8" t="s">
        <v>472</v>
      </c>
      <c r="C86" s="339">
        <v>2750000</v>
      </c>
      <c r="D86" s="8">
        <f>C86/1000000</f>
        <v>2.75</v>
      </c>
    </row>
    <row r="87" spans="2:15" ht="12.6" customHeight="1" x14ac:dyDescent="0.2">
      <c r="B87" s="236" t="s">
        <v>473</v>
      </c>
    </row>
    <row r="88" spans="2:15" ht="12.6" customHeight="1" x14ac:dyDescent="0.2">
      <c r="B88" s="8" t="s">
        <v>474</v>
      </c>
      <c r="C88" s="339">
        <f>C85/C84</f>
        <v>1538461.5384615385</v>
      </c>
      <c r="D88" s="8">
        <f>C88/1000000</f>
        <v>1.5384615384615385</v>
      </c>
    </row>
    <row r="89" spans="2:15" ht="12.6" customHeight="1" x14ac:dyDescent="0.2">
      <c r="B89" s="8" t="s">
        <v>475</v>
      </c>
      <c r="C89" s="342">
        <f>C86-C88</f>
        <v>1211538.4615384615</v>
      </c>
    </row>
    <row r="90" spans="2:15" ht="12.6" customHeight="1" x14ac:dyDescent="0.2">
      <c r="C90" s="8">
        <f>C89/1000000</f>
        <v>1.2115384615384615</v>
      </c>
    </row>
    <row r="94" spans="2:15" ht="12.6" customHeight="1" x14ac:dyDescent="0.2">
      <c r="B94" s="488" t="s">
        <v>476</v>
      </c>
      <c r="C94" s="487"/>
      <c r="D94" s="487"/>
      <c r="E94" s="487"/>
      <c r="F94" s="487"/>
      <c r="G94" s="487"/>
      <c r="H94" s="487"/>
      <c r="I94" s="487"/>
      <c r="J94" s="487"/>
      <c r="K94" s="487"/>
      <c r="L94" s="487"/>
      <c r="M94" s="487"/>
      <c r="N94" s="487"/>
      <c r="O94" s="487"/>
    </row>
    <row r="95" spans="2:15" ht="12.6" customHeight="1" x14ac:dyDescent="0.2">
      <c r="B95" s="487" t="s">
        <v>477</v>
      </c>
      <c r="C95" s="487"/>
      <c r="D95" s="487"/>
      <c r="E95" s="487"/>
      <c r="F95" s="487"/>
      <c r="G95" s="487"/>
      <c r="H95" s="487"/>
      <c r="I95" s="487"/>
      <c r="J95" s="487"/>
      <c r="K95" s="487"/>
      <c r="L95" s="487"/>
      <c r="M95" s="487"/>
      <c r="N95" s="487"/>
      <c r="O95" s="487"/>
    </row>
    <row r="96" spans="2:15" ht="12.6" customHeight="1" x14ac:dyDescent="0.2">
      <c r="B96" s="489"/>
      <c r="C96" s="489" t="s">
        <v>478</v>
      </c>
      <c r="D96" s="489" t="s">
        <v>479</v>
      </c>
      <c r="E96" s="489" t="s">
        <v>480</v>
      </c>
      <c r="F96" s="489" t="s">
        <v>481</v>
      </c>
      <c r="G96" s="489" t="s">
        <v>482</v>
      </c>
      <c r="H96" s="489" t="s">
        <v>483</v>
      </c>
      <c r="I96" s="489" t="s">
        <v>483</v>
      </c>
      <c r="J96" s="489" t="s">
        <v>484</v>
      </c>
      <c r="K96" s="489" t="s">
        <v>485</v>
      </c>
      <c r="L96" s="489" t="s">
        <v>486</v>
      </c>
      <c r="M96" s="489" t="s">
        <v>487</v>
      </c>
      <c r="N96" s="489" t="s">
        <v>487</v>
      </c>
      <c r="O96" s="489" t="s">
        <v>488</v>
      </c>
    </row>
    <row r="97" spans="2:15" ht="12.6" customHeight="1" x14ac:dyDescent="0.2">
      <c r="B97" s="490"/>
      <c r="C97" s="490"/>
      <c r="D97" s="490"/>
      <c r="E97" s="490" t="s">
        <v>489</v>
      </c>
      <c r="F97" s="490" t="s">
        <v>490</v>
      </c>
      <c r="G97" s="490" t="s">
        <v>491</v>
      </c>
      <c r="H97" s="490" t="s">
        <v>492</v>
      </c>
      <c r="I97" s="490"/>
      <c r="J97" s="490" t="s">
        <v>489</v>
      </c>
      <c r="K97" s="490" t="s">
        <v>490</v>
      </c>
      <c r="L97" s="490" t="s">
        <v>491</v>
      </c>
      <c r="M97" s="490" t="s">
        <v>492</v>
      </c>
      <c r="N97" s="490"/>
      <c r="O97" s="490"/>
    </row>
    <row r="98" spans="2:15" ht="12.6" customHeight="1" x14ac:dyDescent="0.2">
      <c r="B98" s="491" t="s">
        <v>493</v>
      </c>
      <c r="C98" s="492">
        <v>64551</v>
      </c>
      <c r="D98" s="492">
        <v>115948</v>
      </c>
      <c r="E98" s="492">
        <v>47223.6</v>
      </c>
      <c r="F98" s="492">
        <v>48908</v>
      </c>
      <c r="G98" s="492">
        <v>49593.8</v>
      </c>
      <c r="H98" s="492">
        <v>51672.800000000003</v>
      </c>
      <c r="I98" s="492">
        <v>196404</v>
      </c>
      <c r="J98" s="492">
        <v>54647.3</v>
      </c>
      <c r="K98" s="492">
        <v>55944.1</v>
      </c>
      <c r="L98" s="492">
        <v>57918.7</v>
      </c>
      <c r="M98" s="492">
        <v>59833.3</v>
      </c>
      <c r="N98" s="492">
        <v>220875</v>
      </c>
      <c r="O98" s="492">
        <v>226867</v>
      </c>
    </row>
    <row r="99" spans="2:15" ht="12.6" customHeight="1" x14ac:dyDescent="0.2">
      <c r="B99" s="493" t="s">
        <v>494</v>
      </c>
      <c r="C99" s="494">
        <v>71611</v>
      </c>
      <c r="D99" s="494">
        <v>66987</v>
      </c>
      <c r="E99" s="494">
        <v>9281.31</v>
      </c>
      <c r="F99" s="495">
        <v>-436.14</v>
      </c>
      <c r="G99" s="494">
        <v>6588.55</v>
      </c>
      <c r="H99" s="494">
        <v>15920.8</v>
      </c>
      <c r="I99" s="494">
        <v>29603.7</v>
      </c>
      <c r="J99" s="494">
        <v>10605.9</v>
      </c>
      <c r="K99" s="494">
        <v>626.49</v>
      </c>
      <c r="L99" s="494">
        <v>10155.5</v>
      </c>
      <c r="M99" s="494">
        <v>27763.8</v>
      </c>
      <c r="N99" s="494">
        <v>46945.7</v>
      </c>
      <c r="O99" s="494">
        <v>92210.2</v>
      </c>
    </row>
    <row r="100" spans="2:15" ht="12.6" customHeight="1" x14ac:dyDescent="0.2">
      <c r="B100" s="491" t="s">
        <v>495</v>
      </c>
      <c r="C100" s="492">
        <v>136162</v>
      </c>
      <c r="D100" s="492">
        <v>182935</v>
      </c>
      <c r="E100" s="492">
        <v>54365.4</v>
      </c>
      <c r="F100" s="492">
        <v>47000</v>
      </c>
      <c r="G100" s="492">
        <v>54669.599999999999</v>
      </c>
      <c r="H100" s="492">
        <v>67010.7</v>
      </c>
      <c r="I100" s="492">
        <v>219651</v>
      </c>
      <c r="J100" s="492">
        <v>66783.199999999997</v>
      </c>
      <c r="K100" s="492">
        <v>55425</v>
      </c>
      <c r="L100" s="492">
        <v>67395.199999999997</v>
      </c>
      <c r="M100" s="492">
        <v>81666.399999999994</v>
      </c>
      <c r="N100" s="492">
        <v>264871</v>
      </c>
      <c r="O100" s="492">
        <v>311554</v>
      </c>
    </row>
    <row r="101" spans="2:15" ht="12.6" customHeight="1" x14ac:dyDescent="0.2">
      <c r="B101" s="493" t="s">
        <v>496</v>
      </c>
      <c r="C101" s="495">
        <v>-72599</v>
      </c>
      <c r="D101" s="495">
        <v>-139500</v>
      </c>
      <c r="E101" s="495">
        <v>-46464.9</v>
      </c>
      <c r="F101" s="495">
        <v>-47829.5</v>
      </c>
      <c r="G101" s="495">
        <v>-47499.7</v>
      </c>
      <c r="H101" s="495">
        <v>-50084.7</v>
      </c>
      <c r="I101" s="495">
        <v>-183815</v>
      </c>
      <c r="J101" s="495">
        <v>-53481</v>
      </c>
      <c r="K101" s="495">
        <v>-54308.1</v>
      </c>
      <c r="L101" s="495">
        <v>-56485.5</v>
      </c>
      <c r="M101" s="495">
        <v>-57877.2</v>
      </c>
      <c r="N101" s="495">
        <v>-207816</v>
      </c>
      <c r="O101" s="495">
        <v>-217683</v>
      </c>
    </row>
    <row r="102" spans="2:15" ht="12.6" customHeight="1" x14ac:dyDescent="0.2">
      <c r="B102" s="491" t="s">
        <v>497</v>
      </c>
      <c r="C102" s="496">
        <v>-51699</v>
      </c>
      <c r="D102" s="496">
        <v>-52546</v>
      </c>
      <c r="E102" s="496">
        <v>-10113.700000000001</v>
      </c>
      <c r="F102" s="496">
        <v>-10259.799999999999</v>
      </c>
      <c r="G102" s="496">
        <v>-10253.6</v>
      </c>
      <c r="H102" s="496">
        <v>-10254.9</v>
      </c>
      <c r="I102" s="496">
        <v>-37597</v>
      </c>
      <c r="J102" s="496">
        <v>-10558</v>
      </c>
      <c r="K102" s="496">
        <v>-10999.8</v>
      </c>
      <c r="L102" s="496">
        <v>-10847.2</v>
      </c>
      <c r="M102" s="496">
        <v>-11006.2</v>
      </c>
      <c r="N102" s="496">
        <v>-41075.4</v>
      </c>
      <c r="O102" s="496">
        <v>-38580.800000000003</v>
      </c>
    </row>
    <row r="107" spans="2:15" ht="12.6" customHeight="1" x14ac:dyDescent="0.2">
      <c r="D107" s="497">
        <f>D98/C98-1</f>
        <v>0.7962231413920775</v>
      </c>
      <c r="E107" s="497">
        <f>I98/D98-1</f>
        <v>0.69389726429088894</v>
      </c>
      <c r="F107" s="8">
        <f>N98/M98-1</f>
        <v>2.6915062348224148</v>
      </c>
      <c r="G107" s="8">
        <f>O98/N98-1</f>
        <v>2.7128466327108081E-2</v>
      </c>
    </row>
    <row r="109" spans="2:15" ht="12.6" customHeight="1" x14ac:dyDescent="0.2">
      <c r="B109" s="488" t="s">
        <v>476</v>
      </c>
      <c r="C109" s="487"/>
      <c r="D109" s="487"/>
      <c r="E109" s="487"/>
      <c r="F109" s="487"/>
      <c r="G109" s="487"/>
      <c r="H109" s="487"/>
      <c r="I109" s="487"/>
      <c r="J109" s="487"/>
      <c r="K109" s="487"/>
      <c r="L109" s="487"/>
      <c r="M109" s="487"/>
      <c r="N109" s="487"/>
      <c r="O109" s="487"/>
    </row>
    <row r="110" spans="2:15" ht="12.6" customHeight="1" x14ac:dyDescent="0.2">
      <c r="B110" s="487" t="s">
        <v>498</v>
      </c>
      <c r="C110" s="487"/>
      <c r="D110" s="487"/>
      <c r="E110" s="487"/>
      <c r="F110" s="487"/>
      <c r="G110" s="487"/>
      <c r="H110" s="487"/>
      <c r="I110" s="487"/>
      <c r="J110" s="487"/>
      <c r="K110" s="487"/>
      <c r="L110" s="487"/>
      <c r="M110" s="487"/>
      <c r="N110" s="487"/>
      <c r="O110" s="487"/>
    </row>
    <row r="111" spans="2:15" ht="12.6" customHeight="1" x14ac:dyDescent="0.2">
      <c r="B111" s="489"/>
      <c r="C111" s="489" t="s">
        <v>478</v>
      </c>
      <c r="D111" s="489" t="s">
        <v>479</v>
      </c>
      <c r="E111" s="489" t="s">
        <v>480</v>
      </c>
      <c r="F111" s="489" t="s">
        <v>481</v>
      </c>
      <c r="G111" s="489" t="s">
        <v>482</v>
      </c>
      <c r="H111" s="489" t="s">
        <v>483</v>
      </c>
      <c r="I111" s="489" t="s">
        <v>483</v>
      </c>
      <c r="J111" s="489" t="s">
        <v>484</v>
      </c>
      <c r="K111" s="489" t="s">
        <v>485</v>
      </c>
      <c r="L111" s="489" t="s">
        <v>486</v>
      </c>
      <c r="M111" s="489" t="s">
        <v>487</v>
      </c>
      <c r="N111" s="489" t="s">
        <v>487</v>
      </c>
      <c r="O111" s="489" t="s">
        <v>488</v>
      </c>
    </row>
    <row r="112" spans="2:15" ht="12.6" customHeight="1" x14ac:dyDescent="0.2">
      <c r="B112" s="490"/>
      <c r="C112" s="490"/>
      <c r="D112" s="490"/>
      <c r="E112" s="490" t="s">
        <v>489</v>
      </c>
      <c r="F112" s="490" t="s">
        <v>490</v>
      </c>
      <c r="G112" s="490" t="s">
        <v>491</v>
      </c>
      <c r="H112" s="490" t="s">
        <v>492</v>
      </c>
      <c r="I112" s="490"/>
      <c r="J112" s="490" t="s">
        <v>489</v>
      </c>
      <c r="K112" s="490" t="s">
        <v>490</v>
      </c>
      <c r="L112" s="490" t="s">
        <v>491</v>
      </c>
      <c r="M112" s="490" t="s">
        <v>492</v>
      </c>
      <c r="N112" s="490"/>
      <c r="O112" s="490"/>
    </row>
    <row r="113" spans="2:15" ht="12.6" customHeight="1" x14ac:dyDescent="0.2">
      <c r="B113" s="498" t="s">
        <v>499</v>
      </c>
      <c r="C113" s="499">
        <v>281724</v>
      </c>
      <c r="D113" s="499">
        <v>331839</v>
      </c>
      <c r="E113" s="499">
        <v>90596.2</v>
      </c>
      <c r="F113" s="499">
        <v>95485.9</v>
      </c>
      <c r="G113" s="499">
        <v>98064.7</v>
      </c>
      <c r="H113" s="499">
        <v>106399</v>
      </c>
      <c r="I113" s="499">
        <v>390637</v>
      </c>
      <c r="J113" s="499">
        <v>107930</v>
      </c>
      <c r="K113" s="499">
        <v>114131</v>
      </c>
      <c r="L113" s="499">
        <v>117283</v>
      </c>
      <c r="M113" s="499">
        <v>127191</v>
      </c>
      <c r="N113" s="499">
        <v>466656</v>
      </c>
      <c r="O113" s="499">
        <v>561587</v>
      </c>
    </row>
    <row r="114" spans="2:15" ht="12.6" customHeight="1" x14ac:dyDescent="0.2">
      <c r="B114" s="500" t="s">
        <v>500</v>
      </c>
      <c r="C114" s="501">
        <v>120810</v>
      </c>
      <c r="D114" s="501">
        <v>139996</v>
      </c>
      <c r="E114" s="501">
        <v>36883.9</v>
      </c>
      <c r="F114" s="501">
        <v>38093.4</v>
      </c>
      <c r="G114" s="501">
        <v>39166.1</v>
      </c>
      <c r="H114" s="501">
        <v>41922.1</v>
      </c>
      <c r="I114" s="501">
        <v>156028</v>
      </c>
      <c r="J114" s="501">
        <v>40178.1</v>
      </c>
      <c r="K114" s="501">
        <v>41543.599999999999</v>
      </c>
      <c r="L114" s="501">
        <v>42543</v>
      </c>
      <c r="M114" s="501">
        <v>45461.8</v>
      </c>
      <c r="N114" s="501">
        <v>171605</v>
      </c>
      <c r="O114" s="501">
        <v>190939</v>
      </c>
    </row>
    <row r="115" spans="2:15" ht="12.6" customHeight="1" x14ac:dyDescent="0.2">
      <c r="B115" s="502" t="s">
        <v>501</v>
      </c>
      <c r="C115" s="492">
        <v>87109</v>
      </c>
      <c r="D115" s="492">
        <v>101997</v>
      </c>
      <c r="E115" s="492">
        <v>25610.6</v>
      </c>
      <c r="F115" s="492">
        <v>26684</v>
      </c>
      <c r="G115" s="492">
        <v>27420</v>
      </c>
      <c r="H115" s="492">
        <v>29397.8</v>
      </c>
      <c r="I115" s="492">
        <v>108961</v>
      </c>
      <c r="J115" s="492">
        <v>29134</v>
      </c>
      <c r="K115" s="492">
        <v>30168</v>
      </c>
      <c r="L115" s="492">
        <v>31083.5</v>
      </c>
      <c r="M115" s="492">
        <v>33136.199999999997</v>
      </c>
      <c r="N115" s="492">
        <v>125062</v>
      </c>
      <c r="O115" s="492">
        <v>143656</v>
      </c>
    </row>
    <row r="116" spans="2:15" ht="12.6" customHeight="1" x14ac:dyDescent="0.2">
      <c r="B116" s="503" t="s">
        <v>502</v>
      </c>
      <c r="C116" s="494">
        <v>7399</v>
      </c>
      <c r="D116" s="494">
        <v>9175</v>
      </c>
      <c r="E116" s="494">
        <v>2231</v>
      </c>
      <c r="F116" s="494">
        <v>2597.5</v>
      </c>
      <c r="G116" s="494">
        <v>2607</v>
      </c>
      <c r="H116" s="494">
        <v>2753</v>
      </c>
      <c r="I116" s="494">
        <v>9578.33</v>
      </c>
      <c r="J116" s="494">
        <v>2934</v>
      </c>
      <c r="K116" s="494">
        <v>3247</v>
      </c>
      <c r="L116" s="494">
        <v>3197</v>
      </c>
      <c r="M116" s="494">
        <v>3446</v>
      </c>
      <c r="N116" s="494">
        <v>11591.5</v>
      </c>
      <c r="O116" s="494">
        <v>10928</v>
      </c>
    </row>
    <row r="117" spans="2:15" ht="12.6" customHeight="1" x14ac:dyDescent="0.2">
      <c r="B117" s="498" t="s">
        <v>503</v>
      </c>
      <c r="C117" s="499">
        <v>128528</v>
      </c>
      <c r="D117" s="499">
        <v>155237</v>
      </c>
      <c r="E117" s="499">
        <v>43904.6</v>
      </c>
      <c r="F117" s="499">
        <v>44764.800000000003</v>
      </c>
      <c r="G117" s="499">
        <v>45144.4</v>
      </c>
      <c r="H117" s="499">
        <v>47753.2</v>
      </c>
      <c r="I117" s="499">
        <v>181480</v>
      </c>
      <c r="J117" s="499">
        <v>50683.199999999997</v>
      </c>
      <c r="K117" s="499">
        <v>52962.400000000001</v>
      </c>
      <c r="L117" s="499">
        <v>54019.199999999997</v>
      </c>
      <c r="M117" s="499">
        <v>57952</v>
      </c>
      <c r="N117" s="499">
        <v>215638</v>
      </c>
      <c r="O117" s="499">
        <v>260163</v>
      </c>
    </row>
    <row r="118" spans="2:15" ht="12.6" customHeight="1" x14ac:dyDescent="0.2">
      <c r="B118" s="505" t="s">
        <v>500</v>
      </c>
      <c r="C118" s="494">
        <v>69773</v>
      </c>
      <c r="D118" s="494">
        <v>83879</v>
      </c>
      <c r="E118" s="494">
        <v>21981.599999999999</v>
      </c>
      <c r="F118" s="494">
        <v>22474.2</v>
      </c>
      <c r="G118" s="494">
        <v>22958</v>
      </c>
      <c r="H118" s="494">
        <v>23650.5</v>
      </c>
      <c r="I118" s="494">
        <v>90797.1</v>
      </c>
      <c r="J118" s="494">
        <v>23568.1</v>
      </c>
      <c r="K118" s="494">
        <v>24151.5</v>
      </c>
      <c r="L118" s="494">
        <v>24516.9</v>
      </c>
      <c r="M118" s="494">
        <v>25505.8</v>
      </c>
      <c r="N118" s="494">
        <v>98992</v>
      </c>
      <c r="O118" s="494">
        <v>116000</v>
      </c>
    </row>
    <row r="119" spans="2:15" ht="12.6" customHeight="1" x14ac:dyDescent="0.2">
      <c r="B119" s="504" t="s">
        <v>504</v>
      </c>
      <c r="C119" s="492">
        <v>44589</v>
      </c>
      <c r="D119" s="492">
        <v>56972</v>
      </c>
      <c r="E119" s="492">
        <v>17666</v>
      </c>
      <c r="F119" s="492">
        <v>17951</v>
      </c>
      <c r="G119" s="492">
        <v>18182.2</v>
      </c>
      <c r="H119" s="492">
        <v>20691.3</v>
      </c>
      <c r="I119" s="492">
        <v>74520</v>
      </c>
      <c r="J119" s="492">
        <v>23876.7</v>
      </c>
      <c r="K119" s="492">
        <v>25404.2</v>
      </c>
      <c r="L119" s="492">
        <v>25609.8</v>
      </c>
      <c r="M119" s="492">
        <v>28920</v>
      </c>
      <c r="N119" s="492">
        <v>101209</v>
      </c>
      <c r="O119" s="492">
        <v>123500</v>
      </c>
    </row>
    <row r="120" spans="2:15" ht="12.6" customHeight="1" x14ac:dyDescent="0.2">
      <c r="B120" s="505" t="s">
        <v>505</v>
      </c>
      <c r="C120" s="494">
        <v>14168</v>
      </c>
      <c r="D120" s="494">
        <v>14386</v>
      </c>
      <c r="E120" s="494">
        <v>5341.01</v>
      </c>
      <c r="F120" s="494">
        <v>2773.44</v>
      </c>
      <c r="G120" s="494">
        <v>3011.35</v>
      </c>
      <c r="H120" s="494">
        <v>2465.27</v>
      </c>
      <c r="I120" s="494">
        <v>12199.2</v>
      </c>
      <c r="J120" s="494">
        <v>2579.4899999999998</v>
      </c>
      <c r="K120" s="494">
        <v>2387.94</v>
      </c>
      <c r="L120" s="494">
        <v>2732.85</v>
      </c>
      <c r="M120" s="494">
        <v>2008.27</v>
      </c>
      <c r="N120" s="494">
        <v>10769</v>
      </c>
      <c r="O120" s="494">
        <v>16000</v>
      </c>
    </row>
    <row r="121" spans="2:15" ht="12.6" customHeight="1" x14ac:dyDescent="0.2">
      <c r="B121" s="498" t="s">
        <v>506</v>
      </c>
      <c r="C121" s="499">
        <v>281724</v>
      </c>
      <c r="D121" s="499">
        <v>331839</v>
      </c>
      <c r="E121" s="499">
        <v>90596.2</v>
      </c>
      <c r="F121" s="499">
        <v>95485.9</v>
      </c>
      <c r="G121" s="499">
        <v>98064.7</v>
      </c>
      <c r="H121" s="499">
        <v>106399</v>
      </c>
      <c r="I121" s="499">
        <v>390637</v>
      </c>
      <c r="J121" s="499">
        <v>107930</v>
      </c>
      <c r="K121" s="499">
        <v>114131</v>
      </c>
      <c r="L121" s="499">
        <v>117283</v>
      </c>
      <c r="M121" s="499">
        <v>127191</v>
      </c>
      <c r="N121" s="499">
        <v>466656</v>
      </c>
      <c r="O121" s="499">
        <v>561587</v>
      </c>
    </row>
    <row r="122" spans="2:15" ht="12.6" customHeight="1" x14ac:dyDescent="0.2">
      <c r="B122" s="505" t="s">
        <v>507</v>
      </c>
      <c r="C122" s="494">
        <v>63946</v>
      </c>
      <c r="D122" s="494">
        <v>64696</v>
      </c>
      <c r="E122" s="494">
        <v>16783.2</v>
      </c>
      <c r="F122" s="494">
        <v>17616.8</v>
      </c>
      <c r="G122" s="494">
        <v>17693.400000000001</v>
      </c>
      <c r="H122" s="494">
        <v>19042.400000000001</v>
      </c>
      <c r="I122" s="494">
        <v>70547</v>
      </c>
      <c r="J122" s="494">
        <v>18564</v>
      </c>
      <c r="K122" s="494">
        <v>18754</v>
      </c>
      <c r="L122" s="494">
        <v>18994</v>
      </c>
      <c r="M122" s="494">
        <v>21123.5</v>
      </c>
      <c r="N122" s="494">
        <v>76366.899999999994</v>
      </c>
      <c r="O122" s="494">
        <v>77812.100000000006</v>
      </c>
    </row>
    <row r="123" spans="2:15" ht="12.6" customHeight="1" x14ac:dyDescent="0.2">
      <c r="B123" s="504" t="s">
        <v>508</v>
      </c>
      <c r="C123" s="492">
        <v>217778</v>
      </c>
      <c r="D123" s="492">
        <v>267143</v>
      </c>
      <c r="E123" s="492">
        <v>73905.600000000006</v>
      </c>
      <c r="F123" s="492">
        <v>77543.600000000006</v>
      </c>
      <c r="G123" s="492">
        <v>79618.399999999994</v>
      </c>
      <c r="H123" s="492">
        <v>86647.3</v>
      </c>
      <c r="I123" s="492">
        <v>320442</v>
      </c>
      <c r="J123" s="492">
        <v>88940</v>
      </c>
      <c r="K123" s="492">
        <v>94123.5</v>
      </c>
      <c r="L123" s="492">
        <v>96768</v>
      </c>
      <c r="M123" s="492">
        <v>104896</v>
      </c>
      <c r="N123" s="492">
        <v>390569</v>
      </c>
      <c r="O123" s="492">
        <v>498710</v>
      </c>
    </row>
    <row r="126" spans="2:15" ht="12.6" customHeight="1" x14ac:dyDescent="0.2">
      <c r="C126" s="497">
        <f>D119/C119-1</f>
        <v>0.27771423445244348</v>
      </c>
      <c r="D126" s="497">
        <f>I119/D119-1</f>
        <v>0.3080109527487187</v>
      </c>
      <c r="E126" s="497">
        <f>N119/I119-1</f>
        <v>0.3581454643048847</v>
      </c>
      <c r="F126" s="497">
        <f>O119/N119-1</f>
        <v>0.22024721121639379</v>
      </c>
    </row>
    <row r="173" spans="2:5" ht="12.6" customHeight="1" x14ac:dyDescent="0.2">
      <c r="B173" s="163" t="s">
        <v>509</v>
      </c>
      <c r="C173" s="5"/>
      <c r="D173" s="5"/>
      <c r="E173" s="5"/>
    </row>
    <row r="174" spans="2:5" ht="12.6" customHeight="1" x14ac:dyDescent="0.2">
      <c r="B174" s="5"/>
      <c r="C174" s="5"/>
      <c r="D174" s="5"/>
      <c r="E174" s="5"/>
    </row>
    <row r="175" spans="2:5" ht="12.6" customHeight="1" x14ac:dyDescent="0.2">
      <c r="B175" s="5" t="s">
        <v>510</v>
      </c>
      <c r="C175" s="5"/>
      <c r="D175" s="5"/>
      <c r="E175" s="5"/>
    </row>
    <row r="176" spans="2:5" ht="12.6" customHeight="1" x14ac:dyDescent="0.2">
      <c r="B176" s="5" t="s">
        <v>511</v>
      </c>
      <c r="C176" s="5"/>
      <c r="D176" s="5"/>
      <c r="E176" s="5"/>
    </row>
    <row r="177" spans="2:5" ht="12.6" customHeight="1" x14ac:dyDescent="0.2">
      <c r="B177" s="5" t="s">
        <v>512</v>
      </c>
      <c r="C177" s="5"/>
      <c r="D177" s="5"/>
      <c r="E177" s="5"/>
    </row>
    <row r="178" spans="2:5" ht="12.6" customHeight="1" x14ac:dyDescent="0.2">
      <c r="B178" s="5" t="s">
        <v>513</v>
      </c>
      <c r="C178" s="5"/>
      <c r="D178" s="5"/>
      <c r="E178" s="5"/>
    </row>
    <row r="179" spans="2:5" ht="12.6" customHeight="1" x14ac:dyDescent="0.2">
      <c r="B179" s="5" t="s">
        <v>514</v>
      </c>
      <c r="C179" s="5"/>
      <c r="D179" s="5"/>
      <c r="E179" s="5"/>
    </row>
    <row r="180" spans="2:5" ht="12.6" customHeight="1" x14ac:dyDescent="0.2">
      <c r="B180" s="5" t="s">
        <v>515</v>
      </c>
      <c r="C180" s="5"/>
      <c r="D180" s="5"/>
      <c r="E180" s="5"/>
    </row>
    <row r="181" spans="2:5" ht="12.6" customHeight="1" x14ac:dyDescent="0.2">
      <c r="B181" s="5"/>
      <c r="C181" s="5"/>
      <c r="D181" s="5"/>
      <c r="E181" s="5"/>
    </row>
    <row r="182" spans="2:5" ht="12.6" customHeight="1" x14ac:dyDescent="0.2">
      <c r="B182" s="163" t="s">
        <v>516</v>
      </c>
      <c r="C182" s="5"/>
      <c r="D182" s="5"/>
      <c r="E182" s="5"/>
    </row>
    <row r="183" spans="2:5" ht="12.6" customHeight="1" x14ac:dyDescent="0.2">
      <c r="B183" s="163"/>
      <c r="C183" s="5"/>
      <c r="D183" s="5"/>
      <c r="E183" s="5"/>
    </row>
    <row r="184" spans="2:5" ht="12.6" customHeight="1" x14ac:dyDescent="0.2">
      <c r="B184" s="5" t="s">
        <v>517</v>
      </c>
      <c r="C184" s="5"/>
      <c r="D184" s="5"/>
      <c r="E184" s="5"/>
    </row>
    <row r="185" spans="2:5" ht="12.6" customHeight="1" x14ac:dyDescent="0.2">
      <c r="B185" s="5" t="s">
        <v>518</v>
      </c>
      <c r="C185" s="5"/>
      <c r="D185" s="5"/>
      <c r="E185" s="5"/>
    </row>
    <row r="186" spans="2:5" ht="12.6" customHeight="1" x14ac:dyDescent="0.2">
      <c r="B186" s="5" t="s">
        <v>519</v>
      </c>
      <c r="C186" s="5"/>
      <c r="D186" s="5"/>
      <c r="E186" s="5"/>
    </row>
    <row r="187" spans="2:5" ht="12.6" customHeight="1" x14ac:dyDescent="0.2">
      <c r="B187" s="5" t="s">
        <v>520</v>
      </c>
      <c r="C187" s="5"/>
      <c r="D187" s="5"/>
      <c r="E187" s="5"/>
    </row>
    <row r="188" spans="2:5" ht="12.6" customHeight="1" x14ac:dyDescent="0.2">
      <c r="B188" s="5" t="s">
        <v>521</v>
      </c>
      <c r="C188" s="5"/>
      <c r="D188" s="5"/>
      <c r="E188" s="5"/>
    </row>
    <row r="189" spans="2:5" ht="12.6" customHeight="1" x14ac:dyDescent="0.2">
      <c r="B189" s="5" t="s">
        <v>522</v>
      </c>
      <c r="C189" s="5"/>
      <c r="D189" s="5"/>
      <c r="E189" s="5"/>
    </row>
    <row r="190" spans="2:5" ht="12.6" customHeight="1" x14ac:dyDescent="0.2">
      <c r="B190" s="5" t="s">
        <v>523</v>
      </c>
      <c r="C190" s="5"/>
      <c r="D190" s="5"/>
      <c r="E190" s="5"/>
    </row>
    <row r="191" spans="2:5" ht="12.6" customHeight="1" x14ac:dyDescent="0.2">
      <c r="B191" s="5" t="s">
        <v>524</v>
      </c>
      <c r="C191" s="5"/>
      <c r="D191" s="5"/>
      <c r="E191" s="5"/>
    </row>
    <row r="192" spans="2:5" ht="12.6" customHeight="1" x14ac:dyDescent="0.2">
      <c r="B192" s="5" t="s">
        <v>525</v>
      </c>
      <c r="C192" s="5"/>
      <c r="D192" s="5"/>
      <c r="E192" s="5"/>
    </row>
    <row r="193" spans="2:5" ht="12.6" customHeight="1" x14ac:dyDescent="0.2">
      <c r="B193" s="5" t="s">
        <v>526</v>
      </c>
      <c r="C193" s="5"/>
      <c r="D193" s="5"/>
      <c r="E193" s="5"/>
    </row>
    <row r="194" spans="2:5" ht="12.6" customHeight="1" x14ac:dyDescent="0.2">
      <c r="B194" s="5" t="s">
        <v>527</v>
      </c>
      <c r="C194" s="5"/>
      <c r="D194" s="5"/>
      <c r="E194" s="5"/>
    </row>
  </sheetData>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42B4-1E9D-45D9-BE79-27F1A5BB5679}">
  <dimension ref="A1:L255"/>
  <sheetViews>
    <sheetView topLeftCell="E1" workbookViewId="0">
      <selection activeCell="N35" sqref="N35"/>
    </sheetView>
  </sheetViews>
  <sheetFormatPr defaultColWidth="8.875" defaultRowHeight="14.25" x14ac:dyDescent="0.2"/>
  <cols>
    <col min="1" max="1" width="19.125" bestFit="1" customWidth="1"/>
    <col min="2" max="2" width="5.125" bestFit="1" customWidth="1"/>
    <col min="3" max="4" width="7" bestFit="1" customWidth="1"/>
    <col min="5" max="5" width="8.625" bestFit="1" customWidth="1"/>
    <col min="6" max="6" width="7.875" bestFit="1" customWidth="1"/>
    <col min="7" max="7" width="16.625" bestFit="1" customWidth="1"/>
    <col min="8" max="8" width="17.625" bestFit="1" customWidth="1"/>
    <col min="9" max="11" width="5.125" bestFit="1" customWidth="1"/>
    <col min="12" max="12" width="18.5" bestFit="1" customWidth="1"/>
  </cols>
  <sheetData>
    <row r="1" spans="1:12" x14ac:dyDescent="0.2">
      <c r="A1" s="428" t="s">
        <v>528</v>
      </c>
      <c r="B1" s="428"/>
      <c r="C1" s="428"/>
      <c r="D1" s="2"/>
      <c r="E1" s="2"/>
      <c r="F1" s="2"/>
      <c r="G1" s="2"/>
      <c r="H1" s="2"/>
      <c r="I1" s="2"/>
      <c r="J1" s="2"/>
      <c r="K1" s="2"/>
      <c r="L1" s="2"/>
    </row>
    <row r="2" spans="1:12" x14ac:dyDescent="0.2">
      <c r="A2" s="2"/>
      <c r="B2" s="2"/>
      <c r="C2" s="2"/>
      <c r="D2" s="2"/>
      <c r="E2" s="2"/>
      <c r="F2" s="2"/>
      <c r="G2" s="2"/>
      <c r="H2" s="2"/>
      <c r="I2" s="2"/>
      <c r="J2" s="2"/>
      <c r="K2" s="2"/>
      <c r="L2" s="2"/>
    </row>
    <row r="3" spans="1:12" x14ac:dyDescent="0.2">
      <c r="A3" s="429" t="s">
        <v>9</v>
      </c>
      <c r="B3" s="429" t="s">
        <v>529</v>
      </c>
      <c r="C3" s="429" t="s">
        <v>530</v>
      </c>
      <c r="D3" s="429" t="s">
        <v>531</v>
      </c>
      <c r="E3" s="429" t="s">
        <v>532</v>
      </c>
      <c r="F3" s="429" t="s">
        <v>533</v>
      </c>
      <c r="G3" s="429" t="s">
        <v>534</v>
      </c>
      <c r="H3" s="429" t="s">
        <v>535</v>
      </c>
      <c r="I3" s="429" t="s">
        <v>536</v>
      </c>
      <c r="J3" s="429" t="s">
        <v>537</v>
      </c>
      <c r="K3" s="429" t="s">
        <v>538</v>
      </c>
      <c r="L3" s="429" t="s">
        <v>539</v>
      </c>
    </row>
    <row r="4" spans="1:12" x14ac:dyDescent="0.2">
      <c r="A4" s="431">
        <v>46275</v>
      </c>
      <c r="B4" s="430">
        <v>24.63</v>
      </c>
      <c r="C4" s="430">
        <v>263284</v>
      </c>
      <c r="D4" s="430">
        <v>-0.16</v>
      </c>
      <c r="E4" s="430">
        <v>-0.65</v>
      </c>
      <c r="F4" s="430">
        <v>-0.65</v>
      </c>
      <c r="G4" s="430">
        <v>24.9</v>
      </c>
      <c r="H4" s="430">
        <v>42.92</v>
      </c>
      <c r="I4" s="430">
        <v>24.62</v>
      </c>
      <c r="J4" s="430">
        <v>25.24</v>
      </c>
      <c r="K4" s="430">
        <v>24.6</v>
      </c>
      <c r="L4" s="430">
        <v>41.39</v>
      </c>
    </row>
    <row r="5" spans="1:12" x14ac:dyDescent="0.2">
      <c r="A5" s="432">
        <v>46274</v>
      </c>
      <c r="B5" s="2">
        <v>24.79</v>
      </c>
      <c r="C5" s="2">
        <v>865589</v>
      </c>
      <c r="D5" s="2">
        <v>0.27</v>
      </c>
      <c r="E5" s="2">
        <v>1.1000000000000001</v>
      </c>
      <c r="F5" s="2">
        <v>1.1000000000000001</v>
      </c>
      <c r="G5" s="2">
        <v>25.06</v>
      </c>
      <c r="H5" s="2">
        <v>43.85</v>
      </c>
      <c r="I5" s="2">
        <v>24.43</v>
      </c>
      <c r="J5" s="2">
        <v>25.03</v>
      </c>
      <c r="K5" s="2">
        <v>24.35</v>
      </c>
      <c r="L5" s="2">
        <v>42.31</v>
      </c>
    </row>
    <row r="6" spans="1:12" x14ac:dyDescent="0.2">
      <c r="A6" s="431">
        <v>46273</v>
      </c>
      <c r="B6" s="430">
        <v>24.52</v>
      </c>
      <c r="C6" s="430">
        <v>637474</v>
      </c>
      <c r="D6" s="430">
        <v>-7.0000000000000007E-2</v>
      </c>
      <c r="E6" s="430">
        <v>-0.28000000000000003</v>
      </c>
      <c r="F6" s="430">
        <v>-0.28000000000000003</v>
      </c>
      <c r="G6" s="430">
        <v>24.79</v>
      </c>
      <c r="H6" s="430">
        <v>42.28</v>
      </c>
      <c r="I6" s="430">
        <v>24.59</v>
      </c>
      <c r="J6" s="430">
        <v>24.86</v>
      </c>
      <c r="K6" s="430">
        <v>24.09</v>
      </c>
      <c r="L6" s="430">
        <v>40.76</v>
      </c>
    </row>
    <row r="7" spans="1:12" x14ac:dyDescent="0.2">
      <c r="A7" s="432">
        <v>46269</v>
      </c>
      <c r="B7" s="2">
        <v>24.59</v>
      </c>
      <c r="C7" s="2">
        <v>661409</v>
      </c>
      <c r="D7" s="2">
        <v>-0.12</v>
      </c>
      <c r="E7" s="2">
        <v>-0.49</v>
      </c>
      <c r="F7" s="2">
        <v>-0.49</v>
      </c>
      <c r="G7" s="2">
        <v>24.86</v>
      </c>
      <c r="H7" s="2">
        <v>42.69</v>
      </c>
      <c r="I7" s="2">
        <v>24.73</v>
      </c>
      <c r="J7" s="2">
        <v>24.92</v>
      </c>
      <c r="K7" s="2">
        <v>24.5</v>
      </c>
      <c r="L7" s="2">
        <v>41.16</v>
      </c>
    </row>
    <row r="8" spans="1:12" x14ac:dyDescent="0.2">
      <c r="A8" s="431">
        <v>46268</v>
      </c>
      <c r="B8" s="430">
        <v>24.71</v>
      </c>
      <c r="C8" s="430">
        <v>943450</v>
      </c>
      <c r="D8" s="430">
        <v>-0.05</v>
      </c>
      <c r="E8" s="430">
        <v>-0.2</v>
      </c>
      <c r="F8" s="430">
        <v>-0.2</v>
      </c>
      <c r="G8" s="430">
        <v>24.98</v>
      </c>
      <c r="H8" s="430">
        <v>43.39</v>
      </c>
      <c r="I8" s="430">
        <v>24.87</v>
      </c>
      <c r="J8" s="430">
        <v>24.97</v>
      </c>
      <c r="K8" s="430">
        <v>24.52</v>
      </c>
      <c r="L8" s="430">
        <v>41.85</v>
      </c>
    </row>
    <row r="9" spans="1:12" x14ac:dyDescent="0.2">
      <c r="A9" s="432">
        <v>46267</v>
      </c>
      <c r="B9" s="2">
        <v>24.76</v>
      </c>
      <c r="C9" s="2">
        <v>1227254</v>
      </c>
      <c r="D9" s="2">
        <v>-0.19</v>
      </c>
      <c r="E9" s="2">
        <v>-0.76</v>
      </c>
      <c r="F9" s="2">
        <v>-0.76</v>
      </c>
      <c r="G9" s="2">
        <v>25.03</v>
      </c>
      <c r="H9" s="2">
        <v>43.68</v>
      </c>
      <c r="I9" s="2">
        <v>24.95</v>
      </c>
      <c r="J9" s="2">
        <v>25</v>
      </c>
      <c r="K9" s="2">
        <v>24.39</v>
      </c>
      <c r="L9" s="2">
        <v>42.14</v>
      </c>
    </row>
    <row r="10" spans="1:12" x14ac:dyDescent="0.2">
      <c r="A10" s="431">
        <v>46266</v>
      </c>
      <c r="B10" s="430">
        <v>24.95</v>
      </c>
      <c r="C10" s="430">
        <v>1146773</v>
      </c>
      <c r="D10" s="430">
        <v>-0.44</v>
      </c>
      <c r="E10" s="430">
        <v>-1.73</v>
      </c>
      <c r="F10" s="430">
        <v>-1.73</v>
      </c>
      <c r="G10" s="430">
        <v>25.22</v>
      </c>
      <c r="H10" s="430">
        <v>44.78</v>
      </c>
      <c r="I10" s="430">
        <v>25.05</v>
      </c>
      <c r="J10" s="430">
        <v>25.38</v>
      </c>
      <c r="K10" s="430">
        <v>24.65</v>
      </c>
      <c r="L10" s="430">
        <v>43.23</v>
      </c>
    </row>
    <row r="11" spans="1:12" x14ac:dyDescent="0.2">
      <c r="A11" s="432">
        <v>46265</v>
      </c>
      <c r="B11" s="2">
        <v>25.39</v>
      </c>
      <c r="C11" s="2">
        <v>722036</v>
      </c>
      <c r="D11" s="2">
        <v>-0.31</v>
      </c>
      <c r="E11" s="2">
        <v>-1.21</v>
      </c>
      <c r="F11" s="2">
        <v>-1.21</v>
      </c>
      <c r="G11" s="2">
        <v>25.67</v>
      </c>
      <c r="H11" s="2">
        <v>47.33</v>
      </c>
      <c r="I11" s="2">
        <v>25.74</v>
      </c>
      <c r="J11" s="2">
        <v>26.12</v>
      </c>
      <c r="K11" s="2">
        <v>25.3</v>
      </c>
      <c r="L11" s="2">
        <v>45.75</v>
      </c>
    </row>
    <row r="12" spans="1:12" x14ac:dyDescent="0.2">
      <c r="A12" s="431">
        <v>46262</v>
      </c>
      <c r="B12" s="430">
        <v>25.7</v>
      </c>
      <c r="C12" s="430">
        <v>1179207</v>
      </c>
      <c r="D12" s="430">
        <v>-1.33</v>
      </c>
      <c r="E12" s="430">
        <v>-4.92</v>
      </c>
      <c r="F12" s="430">
        <v>-4.92</v>
      </c>
      <c r="G12" s="430">
        <v>25.98</v>
      </c>
      <c r="H12" s="430">
        <v>49.13</v>
      </c>
      <c r="I12" s="430">
        <v>26.82</v>
      </c>
      <c r="J12" s="430">
        <v>27</v>
      </c>
      <c r="K12" s="430">
        <v>25.69</v>
      </c>
      <c r="L12" s="430">
        <v>47.53</v>
      </c>
    </row>
    <row r="13" spans="1:12" x14ac:dyDescent="0.2">
      <c r="A13" s="432">
        <v>46261</v>
      </c>
      <c r="B13" s="2">
        <v>27.03</v>
      </c>
      <c r="C13" s="2">
        <v>1525486</v>
      </c>
      <c r="D13" s="2">
        <v>1.1399999999999999</v>
      </c>
      <c r="E13" s="2">
        <v>4.4000000000000004</v>
      </c>
      <c r="F13" s="2">
        <v>4.4000000000000004</v>
      </c>
      <c r="G13" s="2">
        <v>27.32</v>
      </c>
      <c r="H13" s="2">
        <v>56.85</v>
      </c>
      <c r="I13" s="2">
        <v>26.47</v>
      </c>
      <c r="J13" s="2">
        <v>27.22</v>
      </c>
      <c r="K13" s="2">
        <v>26.25</v>
      </c>
      <c r="L13" s="2">
        <v>55.17</v>
      </c>
    </row>
    <row r="14" spans="1:12" x14ac:dyDescent="0.2">
      <c r="A14" s="431">
        <v>46260</v>
      </c>
      <c r="B14" s="430">
        <v>25.89</v>
      </c>
      <c r="C14" s="430">
        <v>1218976</v>
      </c>
      <c r="D14" s="430">
        <v>0.76</v>
      </c>
      <c r="E14" s="430">
        <v>3.02</v>
      </c>
      <c r="F14" s="430">
        <v>3.02</v>
      </c>
      <c r="G14" s="430">
        <v>26.17</v>
      </c>
      <c r="H14" s="430">
        <v>50.23</v>
      </c>
      <c r="I14" s="430">
        <v>24.92</v>
      </c>
      <c r="J14" s="430">
        <v>26.2</v>
      </c>
      <c r="K14" s="430">
        <v>24.65</v>
      </c>
      <c r="L14" s="430">
        <v>48.62</v>
      </c>
    </row>
    <row r="15" spans="1:12" x14ac:dyDescent="0.2">
      <c r="A15" s="432">
        <v>46259</v>
      </c>
      <c r="B15" s="2">
        <v>25.13</v>
      </c>
      <c r="C15" s="2">
        <v>987604</v>
      </c>
      <c r="D15" s="2">
        <v>-0.1</v>
      </c>
      <c r="E15" s="2">
        <v>-0.4</v>
      </c>
      <c r="F15" s="2">
        <v>-0.4</v>
      </c>
      <c r="G15" s="2">
        <v>25.4</v>
      </c>
      <c r="H15" s="2">
        <v>45.82</v>
      </c>
      <c r="I15" s="2">
        <v>25.65</v>
      </c>
      <c r="J15" s="2">
        <v>25.86</v>
      </c>
      <c r="K15" s="2">
        <v>24.95</v>
      </c>
      <c r="L15" s="2">
        <v>44.26</v>
      </c>
    </row>
    <row r="16" spans="1:12" x14ac:dyDescent="0.2">
      <c r="A16" s="431">
        <v>46258</v>
      </c>
      <c r="B16" s="430">
        <v>25.23</v>
      </c>
      <c r="C16" s="430">
        <v>2115812</v>
      </c>
      <c r="D16" s="430">
        <v>-0.89</v>
      </c>
      <c r="E16" s="430">
        <v>-3.41</v>
      </c>
      <c r="F16" s="430">
        <v>-3.41</v>
      </c>
      <c r="G16" s="430">
        <v>25.5</v>
      </c>
      <c r="H16" s="430">
        <v>46.4</v>
      </c>
      <c r="I16" s="430">
        <v>25.96</v>
      </c>
      <c r="J16" s="430">
        <v>25.96</v>
      </c>
      <c r="K16" s="430">
        <v>25.19</v>
      </c>
      <c r="L16" s="430">
        <v>44.83</v>
      </c>
    </row>
    <row r="17" spans="1:12" x14ac:dyDescent="0.2">
      <c r="A17" s="432">
        <v>46255</v>
      </c>
      <c r="B17" s="2">
        <v>26.12</v>
      </c>
      <c r="C17" s="2">
        <v>2469286</v>
      </c>
      <c r="D17" s="2">
        <v>0.59</v>
      </c>
      <c r="E17" s="2">
        <v>2.31</v>
      </c>
      <c r="F17" s="2">
        <v>2.31</v>
      </c>
      <c r="G17" s="2">
        <v>26.4</v>
      </c>
      <c r="H17" s="2">
        <v>51.57</v>
      </c>
      <c r="I17" s="2">
        <v>25.94</v>
      </c>
      <c r="J17" s="2">
        <v>26.13</v>
      </c>
      <c r="K17" s="2">
        <v>25.05</v>
      </c>
      <c r="L17" s="2">
        <v>49.94</v>
      </c>
    </row>
    <row r="18" spans="1:12" x14ac:dyDescent="0.2">
      <c r="A18" s="431">
        <v>46254</v>
      </c>
      <c r="B18" s="430">
        <v>25.53</v>
      </c>
      <c r="C18" s="430">
        <v>2431287</v>
      </c>
      <c r="D18" s="430">
        <v>-0.22</v>
      </c>
      <c r="E18" s="430">
        <v>-0.85</v>
      </c>
      <c r="F18" s="430">
        <v>-0.85</v>
      </c>
      <c r="G18" s="430">
        <v>25.81</v>
      </c>
      <c r="H18" s="430">
        <v>48.15</v>
      </c>
      <c r="I18" s="430">
        <v>25.77</v>
      </c>
      <c r="J18" s="430">
        <v>25.89</v>
      </c>
      <c r="K18" s="430">
        <v>25.46</v>
      </c>
      <c r="L18" s="430">
        <v>46.56</v>
      </c>
    </row>
    <row r="19" spans="1:12" x14ac:dyDescent="0.2">
      <c r="A19" s="432">
        <v>46253</v>
      </c>
      <c r="B19" s="2">
        <v>25.75</v>
      </c>
      <c r="C19" s="2">
        <v>905216</v>
      </c>
      <c r="D19" s="2">
        <v>-0.85</v>
      </c>
      <c r="E19" s="2">
        <v>-3.2</v>
      </c>
      <c r="F19" s="2">
        <v>-3.2</v>
      </c>
      <c r="G19" s="2">
        <v>26.03</v>
      </c>
      <c r="H19" s="2">
        <v>49.42</v>
      </c>
      <c r="I19" s="2">
        <v>26.64</v>
      </c>
      <c r="J19" s="2">
        <v>27.16</v>
      </c>
      <c r="K19" s="2">
        <v>25.2</v>
      </c>
      <c r="L19" s="2">
        <v>47.82</v>
      </c>
    </row>
    <row r="20" spans="1:12" x14ac:dyDescent="0.2">
      <c r="A20" s="431">
        <v>46252</v>
      </c>
      <c r="B20" s="430">
        <v>26.6</v>
      </c>
      <c r="C20" s="430">
        <v>944275</v>
      </c>
      <c r="D20" s="430">
        <v>-0.75</v>
      </c>
      <c r="E20" s="430">
        <v>-2.74</v>
      </c>
      <c r="F20" s="430">
        <v>-2.74</v>
      </c>
      <c r="G20" s="430">
        <v>26.89</v>
      </c>
      <c r="H20" s="430">
        <v>54.35</v>
      </c>
      <c r="I20" s="430">
        <v>27.02</v>
      </c>
      <c r="J20" s="430">
        <v>27.35</v>
      </c>
      <c r="K20" s="430">
        <v>26.45</v>
      </c>
      <c r="L20" s="430">
        <v>52.7</v>
      </c>
    </row>
    <row r="21" spans="1:12" x14ac:dyDescent="0.2">
      <c r="A21" s="432">
        <v>46251</v>
      </c>
      <c r="B21" s="2">
        <v>27.35</v>
      </c>
      <c r="C21" s="2">
        <v>1023094</v>
      </c>
      <c r="D21" s="2">
        <v>-0.05</v>
      </c>
      <c r="E21" s="2">
        <v>-0.18</v>
      </c>
      <c r="F21" s="2">
        <v>0.04</v>
      </c>
      <c r="G21" s="2">
        <v>27.65</v>
      </c>
      <c r="H21" s="2">
        <v>58.71</v>
      </c>
      <c r="I21" s="2">
        <v>27.24</v>
      </c>
      <c r="J21" s="2">
        <v>27.43</v>
      </c>
      <c r="K21" s="2">
        <v>26.78</v>
      </c>
      <c r="L21" s="2">
        <v>57</v>
      </c>
    </row>
    <row r="22" spans="1:12" x14ac:dyDescent="0.2">
      <c r="A22" s="431">
        <v>46248</v>
      </c>
      <c r="B22" s="430">
        <v>27.4</v>
      </c>
      <c r="C22" s="430">
        <v>1248390</v>
      </c>
      <c r="D22" s="430">
        <v>0.4</v>
      </c>
      <c r="E22" s="430">
        <v>1.48</v>
      </c>
      <c r="F22" s="430">
        <v>1.48</v>
      </c>
      <c r="G22" s="430">
        <v>27.64</v>
      </c>
      <c r="H22" s="430">
        <v>58.65</v>
      </c>
      <c r="I22" s="430">
        <v>27.1</v>
      </c>
      <c r="J22" s="430">
        <v>27.67</v>
      </c>
      <c r="K22" s="430">
        <v>26.56</v>
      </c>
      <c r="L22" s="430">
        <v>57.29</v>
      </c>
    </row>
    <row r="23" spans="1:12" x14ac:dyDescent="0.2">
      <c r="A23" s="432">
        <v>46247</v>
      </c>
      <c r="B23" s="2">
        <v>27</v>
      </c>
      <c r="C23" s="2">
        <v>892635</v>
      </c>
      <c r="D23" s="2">
        <v>-0.49</v>
      </c>
      <c r="E23" s="2">
        <v>-1.78</v>
      </c>
      <c r="F23" s="2">
        <v>-1.78</v>
      </c>
      <c r="G23" s="2">
        <v>27.23</v>
      </c>
      <c r="H23" s="2">
        <v>56.33</v>
      </c>
      <c r="I23" s="2">
        <v>27.66</v>
      </c>
      <c r="J23" s="2">
        <v>27.73</v>
      </c>
      <c r="K23" s="2">
        <v>27</v>
      </c>
      <c r="L23" s="2">
        <v>54.99</v>
      </c>
    </row>
    <row r="24" spans="1:12" x14ac:dyDescent="0.2">
      <c r="A24" s="431">
        <v>46246</v>
      </c>
      <c r="B24" s="430">
        <v>27.49</v>
      </c>
      <c r="C24" s="430">
        <v>1095974</v>
      </c>
      <c r="D24" s="430">
        <v>0.32</v>
      </c>
      <c r="E24" s="430">
        <v>1.18</v>
      </c>
      <c r="F24" s="430">
        <v>1.18</v>
      </c>
      <c r="G24" s="430">
        <v>27.73</v>
      </c>
      <c r="H24" s="430">
        <v>59.17</v>
      </c>
      <c r="I24" s="430">
        <v>27.56</v>
      </c>
      <c r="J24" s="430">
        <v>27.81</v>
      </c>
      <c r="K24" s="430">
        <v>27.14</v>
      </c>
      <c r="L24" s="430">
        <v>57.81</v>
      </c>
    </row>
    <row r="25" spans="1:12" x14ac:dyDescent="0.2">
      <c r="A25" s="432">
        <v>46245</v>
      </c>
      <c r="B25" s="2">
        <v>27.17</v>
      </c>
      <c r="C25" s="2">
        <v>1289073</v>
      </c>
      <c r="D25" s="2">
        <v>-1.1599999999999999</v>
      </c>
      <c r="E25" s="2">
        <v>-4.09</v>
      </c>
      <c r="F25" s="2">
        <v>-4.09</v>
      </c>
      <c r="G25" s="2">
        <v>27.4</v>
      </c>
      <c r="H25" s="2">
        <v>57.32</v>
      </c>
      <c r="I25" s="2">
        <v>28.33</v>
      </c>
      <c r="J25" s="2">
        <v>28.5</v>
      </c>
      <c r="K25" s="2">
        <v>27.04</v>
      </c>
      <c r="L25" s="2">
        <v>55.97</v>
      </c>
    </row>
    <row r="26" spans="1:12" x14ac:dyDescent="0.2">
      <c r="A26" s="431">
        <v>46244</v>
      </c>
      <c r="B26" s="430">
        <v>28.33</v>
      </c>
      <c r="C26" s="430">
        <v>1413876</v>
      </c>
      <c r="D26" s="430">
        <v>1.49</v>
      </c>
      <c r="E26" s="430">
        <v>5.55</v>
      </c>
      <c r="F26" s="430">
        <v>5.55</v>
      </c>
      <c r="G26" s="430">
        <v>28.57</v>
      </c>
      <c r="H26" s="430">
        <v>64.03</v>
      </c>
      <c r="I26" s="430">
        <v>27.04</v>
      </c>
      <c r="J26" s="430">
        <v>28.98</v>
      </c>
      <c r="K26" s="430">
        <v>27.04</v>
      </c>
      <c r="L26" s="430">
        <v>62.63</v>
      </c>
    </row>
    <row r="27" spans="1:12" x14ac:dyDescent="0.2">
      <c r="A27" s="432">
        <v>46241</v>
      </c>
      <c r="B27" s="2">
        <v>26.84</v>
      </c>
      <c r="C27" s="2">
        <v>1569060</v>
      </c>
      <c r="D27" s="2">
        <v>-0.76</v>
      </c>
      <c r="E27" s="2">
        <v>-2.75</v>
      </c>
      <c r="F27" s="2">
        <v>-2.75</v>
      </c>
      <c r="G27" s="2">
        <v>27.07</v>
      </c>
      <c r="H27" s="2">
        <v>55.41</v>
      </c>
      <c r="I27" s="2">
        <v>27.94</v>
      </c>
      <c r="J27" s="2">
        <v>27.95</v>
      </c>
      <c r="K27" s="2">
        <v>26.83</v>
      </c>
      <c r="L27" s="2">
        <v>54.08</v>
      </c>
    </row>
    <row r="28" spans="1:12" x14ac:dyDescent="0.2">
      <c r="A28" s="431">
        <v>46240</v>
      </c>
      <c r="B28" s="430">
        <v>27.6</v>
      </c>
      <c r="C28" s="430">
        <v>2194754</v>
      </c>
      <c r="D28" s="430">
        <v>-3.24</v>
      </c>
      <c r="E28" s="430">
        <v>-10.51</v>
      </c>
      <c r="F28" s="430">
        <v>-10.51</v>
      </c>
      <c r="G28" s="430">
        <v>27.84</v>
      </c>
      <c r="H28" s="430">
        <v>59.81</v>
      </c>
      <c r="I28" s="430">
        <v>27.93</v>
      </c>
      <c r="J28" s="430">
        <v>29.67</v>
      </c>
      <c r="K28" s="430">
        <v>27.12</v>
      </c>
      <c r="L28" s="430">
        <v>58.44</v>
      </c>
    </row>
    <row r="29" spans="1:12" x14ac:dyDescent="0.2">
      <c r="A29" s="432">
        <v>46239</v>
      </c>
      <c r="B29" s="2">
        <v>30.84</v>
      </c>
      <c r="C29" s="2">
        <v>1633756</v>
      </c>
      <c r="D29" s="2">
        <v>0.14000000000000001</v>
      </c>
      <c r="E29" s="2">
        <v>0.46</v>
      </c>
      <c r="F29" s="2">
        <v>0.46</v>
      </c>
      <c r="G29" s="2">
        <v>31.11</v>
      </c>
      <c r="H29" s="2">
        <v>78.569999999999993</v>
      </c>
      <c r="I29" s="2">
        <v>30.67</v>
      </c>
      <c r="J29" s="2">
        <v>31.15</v>
      </c>
      <c r="K29" s="2">
        <v>30.34</v>
      </c>
      <c r="L29" s="2">
        <v>77.040000000000006</v>
      </c>
    </row>
    <row r="30" spans="1:12" x14ac:dyDescent="0.2">
      <c r="A30" s="431">
        <v>46238</v>
      </c>
      <c r="B30" s="430">
        <v>30.7</v>
      </c>
      <c r="C30" s="430">
        <v>1448868</v>
      </c>
      <c r="D30" s="430">
        <v>0.75</v>
      </c>
      <c r="E30" s="430">
        <v>2.5</v>
      </c>
      <c r="F30" s="430">
        <v>2.5</v>
      </c>
      <c r="G30" s="430">
        <v>30.97</v>
      </c>
      <c r="H30" s="430">
        <v>77.760000000000005</v>
      </c>
      <c r="I30" s="430">
        <v>31.42</v>
      </c>
      <c r="J30" s="430">
        <v>31.77</v>
      </c>
      <c r="K30" s="430">
        <v>30.56</v>
      </c>
      <c r="L30" s="430">
        <v>76.23</v>
      </c>
    </row>
    <row r="31" spans="1:12" x14ac:dyDescent="0.2">
      <c r="A31" s="432">
        <v>46237</v>
      </c>
      <c r="B31" s="2">
        <v>29.95</v>
      </c>
      <c r="C31" s="2">
        <v>1370414</v>
      </c>
      <c r="D31" s="2">
        <v>0.38</v>
      </c>
      <c r="E31" s="2">
        <v>1.29</v>
      </c>
      <c r="F31" s="2">
        <v>1.29</v>
      </c>
      <c r="G31" s="2">
        <v>30.21</v>
      </c>
      <c r="H31" s="2">
        <v>73.41</v>
      </c>
      <c r="I31" s="2">
        <v>29.4</v>
      </c>
      <c r="J31" s="2">
        <v>30.23</v>
      </c>
      <c r="K31" s="2">
        <v>29.2</v>
      </c>
      <c r="L31" s="2">
        <v>71.930000000000007</v>
      </c>
    </row>
    <row r="32" spans="1:12" x14ac:dyDescent="0.2">
      <c r="A32" s="431">
        <v>46234</v>
      </c>
      <c r="B32" s="430">
        <v>29.57</v>
      </c>
      <c r="C32" s="430">
        <v>1702056</v>
      </c>
      <c r="D32" s="430">
        <v>-0.38</v>
      </c>
      <c r="E32" s="430">
        <v>-1.27</v>
      </c>
      <c r="F32" s="430">
        <v>-1.27</v>
      </c>
      <c r="G32" s="430">
        <v>29.83</v>
      </c>
      <c r="H32" s="430">
        <v>71.209999999999994</v>
      </c>
      <c r="I32" s="430">
        <v>30.61</v>
      </c>
      <c r="J32" s="430">
        <v>30.9</v>
      </c>
      <c r="K32" s="430">
        <v>29.47</v>
      </c>
      <c r="L32" s="430">
        <v>69.75</v>
      </c>
    </row>
    <row r="33" spans="1:12" x14ac:dyDescent="0.2">
      <c r="A33" s="432">
        <v>46233</v>
      </c>
      <c r="B33" s="2">
        <v>29.95</v>
      </c>
      <c r="C33" s="2">
        <v>1998625</v>
      </c>
      <c r="D33" s="2">
        <v>1.17</v>
      </c>
      <c r="E33" s="2">
        <v>4.07</v>
      </c>
      <c r="F33" s="2">
        <v>4.07</v>
      </c>
      <c r="G33" s="2">
        <v>30.21</v>
      </c>
      <c r="H33" s="2">
        <v>73.41</v>
      </c>
      <c r="I33" s="2">
        <v>29.63</v>
      </c>
      <c r="J33" s="2">
        <v>30.29</v>
      </c>
      <c r="K33" s="2">
        <v>29.35</v>
      </c>
      <c r="L33" s="2">
        <v>71.930000000000007</v>
      </c>
    </row>
    <row r="34" spans="1:12" x14ac:dyDescent="0.2">
      <c r="A34" s="431">
        <v>46232</v>
      </c>
      <c r="B34" s="430">
        <v>28.78</v>
      </c>
      <c r="C34" s="430">
        <v>2253043</v>
      </c>
      <c r="D34" s="430">
        <v>-2.54</v>
      </c>
      <c r="E34" s="430">
        <v>-8.11</v>
      </c>
      <c r="F34" s="430">
        <v>-8.11</v>
      </c>
      <c r="G34" s="430">
        <v>29.03</v>
      </c>
      <c r="H34" s="430">
        <v>66.64</v>
      </c>
      <c r="I34" s="430">
        <v>31.19</v>
      </c>
      <c r="J34" s="430">
        <v>31.65</v>
      </c>
      <c r="K34" s="430">
        <v>28.78</v>
      </c>
      <c r="L34" s="430">
        <v>65.209999999999994</v>
      </c>
    </row>
    <row r="35" spans="1:12" x14ac:dyDescent="0.2">
      <c r="A35" s="432">
        <v>46231</v>
      </c>
      <c r="B35" s="2">
        <v>31.32</v>
      </c>
      <c r="C35" s="2">
        <v>1534582</v>
      </c>
      <c r="D35" s="2">
        <v>-2.15</v>
      </c>
      <c r="E35" s="2">
        <v>-6.42</v>
      </c>
      <c r="F35" s="2">
        <v>-6.42</v>
      </c>
      <c r="G35" s="2">
        <v>31.59</v>
      </c>
      <c r="H35" s="2">
        <v>81.349999999999994</v>
      </c>
      <c r="I35" s="2">
        <v>33.04</v>
      </c>
      <c r="J35" s="2">
        <v>33.04</v>
      </c>
      <c r="K35" s="2">
        <v>31.21</v>
      </c>
      <c r="L35" s="2">
        <v>79.790000000000006</v>
      </c>
    </row>
    <row r="36" spans="1:12" x14ac:dyDescent="0.2">
      <c r="A36" s="431">
        <v>46230</v>
      </c>
      <c r="B36" s="430">
        <v>33.47</v>
      </c>
      <c r="C36" s="430">
        <v>1105335</v>
      </c>
      <c r="D36" s="430">
        <v>-0.8</v>
      </c>
      <c r="E36" s="430">
        <v>-2.33</v>
      </c>
      <c r="F36" s="430">
        <v>-2.33</v>
      </c>
      <c r="G36" s="430">
        <v>33.76</v>
      </c>
      <c r="H36" s="430">
        <v>93.79</v>
      </c>
      <c r="I36" s="430">
        <v>34.729999999999997</v>
      </c>
      <c r="J36" s="430">
        <v>35.159999999999997</v>
      </c>
      <c r="K36" s="430">
        <v>32.840000000000003</v>
      </c>
      <c r="L36" s="430">
        <v>92.14</v>
      </c>
    </row>
    <row r="37" spans="1:12" x14ac:dyDescent="0.2">
      <c r="A37" s="432">
        <v>46227</v>
      </c>
      <c r="B37" s="2">
        <v>34.270000000000003</v>
      </c>
      <c r="C37" s="2">
        <v>1098180</v>
      </c>
      <c r="D37" s="2">
        <v>-0.39</v>
      </c>
      <c r="E37" s="2">
        <v>-1.1299999999999999</v>
      </c>
      <c r="F37" s="2">
        <v>-1.1299999999999999</v>
      </c>
      <c r="G37" s="2">
        <v>34.57</v>
      </c>
      <c r="H37" s="2">
        <v>98.43</v>
      </c>
      <c r="I37" s="2">
        <v>34.9</v>
      </c>
      <c r="J37" s="2">
        <v>35.04</v>
      </c>
      <c r="K37" s="2">
        <v>33.9</v>
      </c>
      <c r="L37" s="2">
        <v>96.73</v>
      </c>
    </row>
    <row r="38" spans="1:12" x14ac:dyDescent="0.2">
      <c r="A38" s="431">
        <v>46226</v>
      </c>
      <c r="B38" s="430">
        <v>34.659999999999997</v>
      </c>
      <c r="C38" s="430">
        <v>1563234</v>
      </c>
      <c r="D38" s="430">
        <v>-0.88</v>
      </c>
      <c r="E38" s="430">
        <v>-2.48</v>
      </c>
      <c r="F38" s="430">
        <v>-2.48</v>
      </c>
      <c r="G38" s="430">
        <v>34.96</v>
      </c>
      <c r="H38" s="430">
        <v>100.68</v>
      </c>
      <c r="I38" s="430">
        <v>35.49</v>
      </c>
      <c r="J38" s="430">
        <v>35.659999999999997</v>
      </c>
      <c r="K38" s="430">
        <v>34.46</v>
      </c>
      <c r="L38" s="430">
        <v>98.97</v>
      </c>
    </row>
    <row r="39" spans="1:12" x14ac:dyDescent="0.2">
      <c r="A39" s="432">
        <v>46225</v>
      </c>
      <c r="B39" s="2">
        <v>35.54</v>
      </c>
      <c r="C39" s="2">
        <v>867724</v>
      </c>
      <c r="D39" s="2">
        <v>-0.89</v>
      </c>
      <c r="E39" s="2">
        <v>-2.44</v>
      </c>
      <c r="F39" s="2">
        <v>-2.44</v>
      </c>
      <c r="G39" s="2">
        <v>35.85</v>
      </c>
      <c r="H39" s="2">
        <v>105.78</v>
      </c>
      <c r="I39" s="2">
        <v>36.159999999999997</v>
      </c>
      <c r="J39" s="2">
        <v>36.43</v>
      </c>
      <c r="K39" s="2">
        <v>35.53</v>
      </c>
      <c r="L39" s="2">
        <v>104.02</v>
      </c>
    </row>
    <row r="40" spans="1:12" x14ac:dyDescent="0.2">
      <c r="A40" s="431">
        <v>46224</v>
      </c>
      <c r="B40" s="430">
        <v>36.43</v>
      </c>
      <c r="C40" s="430">
        <v>781899</v>
      </c>
      <c r="D40" s="430">
        <v>0.64</v>
      </c>
      <c r="E40" s="430">
        <v>1.79</v>
      </c>
      <c r="F40" s="430">
        <v>1.79</v>
      </c>
      <c r="G40" s="430">
        <v>36.74</v>
      </c>
      <c r="H40" s="430">
        <v>110.93</v>
      </c>
      <c r="I40" s="430">
        <v>35.96</v>
      </c>
      <c r="J40" s="430">
        <v>36.43</v>
      </c>
      <c r="K40" s="430">
        <v>35.6</v>
      </c>
      <c r="L40" s="430">
        <v>109.13</v>
      </c>
    </row>
    <row r="41" spans="1:12" x14ac:dyDescent="0.2">
      <c r="A41" s="432">
        <v>46223</v>
      </c>
      <c r="B41" s="2">
        <v>35.79</v>
      </c>
      <c r="C41" s="2">
        <v>1094373</v>
      </c>
      <c r="D41" s="2">
        <v>-0.17</v>
      </c>
      <c r="E41" s="2">
        <v>-0.47</v>
      </c>
      <c r="F41" s="2">
        <v>-0.47</v>
      </c>
      <c r="G41" s="2">
        <v>36.1</v>
      </c>
      <c r="H41" s="2">
        <v>107.23</v>
      </c>
      <c r="I41" s="2">
        <v>35.92</v>
      </c>
      <c r="J41" s="2">
        <v>36.82</v>
      </c>
      <c r="K41" s="2">
        <v>35.76</v>
      </c>
      <c r="L41" s="2">
        <v>105.45</v>
      </c>
    </row>
    <row r="42" spans="1:12" x14ac:dyDescent="0.2">
      <c r="A42" s="431">
        <v>46220</v>
      </c>
      <c r="B42" s="430">
        <v>35.96</v>
      </c>
      <c r="C42" s="430">
        <v>1087081</v>
      </c>
      <c r="D42" s="430">
        <v>-0.13</v>
      </c>
      <c r="E42" s="430">
        <v>-0.36</v>
      </c>
      <c r="F42" s="430">
        <v>-0.36</v>
      </c>
      <c r="G42" s="430">
        <v>36.270000000000003</v>
      </c>
      <c r="H42" s="430">
        <v>108.21</v>
      </c>
      <c r="I42" s="430">
        <v>35</v>
      </c>
      <c r="J42" s="430">
        <v>36.21</v>
      </c>
      <c r="K42" s="430">
        <v>34.46</v>
      </c>
      <c r="L42" s="430">
        <v>106.43</v>
      </c>
    </row>
    <row r="43" spans="1:12" x14ac:dyDescent="0.2">
      <c r="A43" s="432">
        <v>46219</v>
      </c>
      <c r="B43" s="2">
        <v>36.090000000000003</v>
      </c>
      <c r="C43" s="2">
        <v>1309906</v>
      </c>
      <c r="D43" s="2">
        <v>-0.21</v>
      </c>
      <c r="E43" s="2">
        <v>-0.57999999999999996</v>
      </c>
      <c r="F43" s="2">
        <v>-0.57999999999999996</v>
      </c>
      <c r="G43" s="2">
        <v>36.4</v>
      </c>
      <c r="H43" s="2">
        <v>108.96</v>
      </c>
      <c r="I43" s="2">
        <v>36.1</v>
      </c>
      <c r="J43" s="2">
        <v>36.35</v>
      </c>
      <c r="K43" s="2">
        <v>35.22</v>
      </c>
      <c r="L43" s="2">
        <v>107.18</v>
      </c>
    </row>
    <row r="44" spans="1:12" x14ac:dyDescent="0.2">
      <c r="A44" s="431">
        <v>46218</v>
      </c>
      <c r="B44" s="430">
        <v>36.299999999999997</v>
      </c>
      <c r="C44" s="430">
        <v>1240756</v>
      </c>
      <c r="D44" s="430">
        <v>-1.34</v>
      </c>
      <c r="E44" s="430">
        <v>-3.56</v>
      </c>
      <c r="F44" s="430">
        <v>-3.56</v>
      </c>
      <c r="G44" s="430">
        <v>36.61</v>
      </c>
      <c r="H44" s="430">
        <v>110.18</v>
      </c>
      <c r="I44" s="430">
        <v>37.65</v>
      </c>
      <c r="J44" s="430">
        <v>38.049999999999997</v>
      </c>
      <c r="K44" s="430">
        <v>36.020000000000003</v>
      </c>
      <c r="L44" s="430">
        <v>108.38</v>
      </c>
    </row>
    <row r="45" spans="1:12" x14ac:dyDescent="0.2">
      <c r="A45" s="432">
        <v>46217</v>
      </c>
      <c r="B45" s="2">
        <v>37.64</v>
      </c>
      <c r="C45" s="2">
        <v>1264761</v>
      </c>
      <c r="D45" s="2">
        <v>0.85</v>
      </c>
      <c r="E45" s="2">
        <v>2.31</v>
      </c>
      <c r="F45" s="2">
        <v>2.31</v>
      </c>
      <c r="G45" s="2">
        <v>37.96</v>
      </c>
      <c r="H45" s="2">
        <v>117.94</v>
      </c>
      <c r="I45" s="2">
        <v>36.5</v>
      </c>
      <c r="J45" s="2">
        <v>38.04</v>
      </c>
      <c r="K45" s="2">
        <v>36.07</v>
      </c>
      <c r="L45" s="2">
        <v>116.07</v>
      </c>
    </row>
    <row r="46" spans="1:12" x14ac:dyDescent="0.2">
      <c r="A46" s="431">
        <v>46216</v>
      </c>
      <c r="B46" s="430">
        <v>36.79</v>
      </c>
      <c r="C46" s="430">
        <v>1164534</v>
      </c>
      <c r="D46" s="430">
        <v>-0.38</v>
      </c>
      <c r="E46" s="430">
        <v>-1.02</v>
      </c>
      <c r="F46" s="430">
        <v>-1.02</v>
      </c>
      <c r="G46" s="430">
        <v>37.11</v>
      </c>
      <c r="H46" s="430">
        <v>113.02</v>
      </c>
      <c r="I46" s="430">
        <v>37.11</v>
      </c>
      <c r="J46" s="430">
        <v>37.450000000000003</v>
      </c>
      <c r="K46" s="430">
        <v>36.020000000000003</v>
      </c>
      <c r="L46" s="430">
        <v>111.19</v>
      </c>
    </row>
    <row r="47" spans="1:12" x14ac:dyDescent="0.2">
      <c r="A47" s="432">
        <v>46213</v>
      </c>
      <c r="B47" s="2">
        <v>37.17</v>
      </c>
      <c r="C47" s="2">
        <v>1335344</v>
      </c>
      <c r="D47" s="2">
        <v>-0.94</v>
      </c>
      <c r="E47" s="2">
        <v>-2.4700000000000002</v>
      </c>
      <c r="F47" s="2">
        <v>-2.4700000000000002</v>
      </c>
      <c r="G47" s="2">
        <v>37.49</v>
      </c>
      <c r="H47" s="2">
        <v>115.22</v>
      </c>
      <c r="I47" s="2">
        <v>37.96</v>
      </c>
      <c r="J47" s="2">
        <v>38.07</v>
      </c>
      <c r="K47" s="2">
        <v>36.909999999999997</v>
      </c>
      <c r="L47" s="2">
        <v>113.38</v>
      </c>
    </row>
    <row r="48" spans="1:12" x14ac:dyDescent="0.2">
      <c r="A48" s="431">
        <v>46212</v>
      </c>
      <c r="B48" s="430">
        <v>38.11</v>
      </c>
      <c r="C48" s="430">
        <v>1189359</v>
      </c>
      <c r="D48" s="430">
        <v>1.02</v>
      </c>
      <c r="E48" s="430">
        <v>2.75</v>
      </c>
      <c r="F48" s="430">
        <v>2.75</v>
      </c>
      <c r="G48" s="430">
        <v>38.44</v>
      </c>
      <c r="H48" s="430">
        <v>120.66</v>
      </c>
      <c r="I48" s="430">
        <v>37.200000000000003</v>
      </c>
      <c r="J48" s="430">
        <v>38.49</v>
      </c>
      <c r="K48" s="430">
        <v>37.04</v>
      </c>
      <c r="L48" s="430">
        <v>118.77</v>
      </c>
    </row>
    <row r="49" spans="1:12" x14ac:dyDescent="0.2">
      <c r="A49" s="432">
        <v>46211</v>
      </c>
      <c r="B49" s="2">
        <v>37.090000000000003</v>
      </c>
      <c r="C49" s="2">
        <v>855717</v>
      </c>
      <c r="D49" s="2">
        <v>0.56999999999999995</v>
      </c>
      <c r="E49" s="2">
        <v>1.56</v>
      </c>
      <c r="F49" s="2">
        <v>1.56</v>
      </c>
      <c r="G49" s="2">
        <v>37.409999999999997</v>
      </c>
      <c r="H49" s="2">
        <v>114.75</v>
      </c>
      <c r="I49" s="2">
        <v>36.29</v>
      </c>
      <c r="J49" s="2">
        <v>37.32</v>
      </c>
      <c r="K49" s="2">
        <v>36.119999999999997</v>
      </c>
      <c r="L49" s="2">
        <v>112.92</v>
      </c>
    </row>
    <row r="50" spans="1:12" x14ac:dyDescent="0.2">
      <c r="A50" s="431">
        <v>46210</v>
      </c>
      <c r="B50" s="430">
        <v>36.520000000000003</v>
      </c>
      <c r="C50" s="430">
        <v>824922</v>
      </c>
      <c r="D50" s="430">
        <v>0.08</v>
      </c>
      <c r="E50" s="430">
        <v>0.22</v>
      </c>
      <c r="F50" s="430">
        <v>0.22</v>
      </c>
      <c r="G50" s="430">
        <v>36.840000000000003</v>
      </c>
      <c r="H50" s="430">
        <v>111.45</v>
      </c>
      <c r="I50" s="430">
        <v>36.299999999999997</v>
      </c>
      <c r="J50" s="430">
        <v>37.31</v>
      </c>
      <c r="K50" s="430">
        <v>35.51</v>
      </c>
      <c r="L50" s="430">
        <v>109.64</v>
      </c>
    </row>
    <row r="51" spans="1:12" x14ac:dyDescent="0.2">
      <c r="A51" s="432">
        <v>46209</v>
      </c>
      <c r="B51" s="2">
        <v>36.44</v>
      </c>
      <c r="C51" s="2">
        <v>1105417</v>
      </c>
      <c r="D51" s="2">
        <v>0.14000000000000001</v>
      </c>
      <c r="E51" s="2">
        <v>0.39</v>
      </c>
      <c r="F51" s="2">
        <v>0.39</v>
      </c>
      <c r="G51" s="2">
        <v>36.75</v>
      </c>
      <c r="H51" s="2">
        <v>110.99</v>
      </c>
      <c r="I51" s="2">
        <v>36.1</v>
      </c>
      <c r="J51" s="2">
        <v>37.42</v>
      </c>
      <c r="K51" s="2">
        <v>35.69</v>
      </c>
      <c r="L51" s="2">
        <v>109.18</v>
      </c>
    </row>
    <row r="52" spans="1:12" x14ac:dyDescent="0.2">
      <c r="A52" s="431">
        <v>46205</v>
      </c>
      <c r="B52" s="430">
        <v>36.299999999999997</v>
      </c>
      <c r="C52" s="430">
        <v>1259941</v>
      </c>
      <c r="D52" s="430">
        <v>-1.7</v>
      </c>
      <c r="E52" s="430">
        <v>-4.47</v>
      </c>
      <c r="F52" s="430">
        <v>-4.47</v>
      </c>
      <c r="G52" s="430">
        <v>36.61</v>
      </c>
      <c r="H52" s="430">
        <v>110.18</v>
      </c>
      <c r="I52" s="430">
        <v>37.630000000000003</v>
      </c>
      <c r="J52" s="430">
        <v>37.799999999999997</v>
      </c>
      <c r="K52" s="430">
        <v>35.799999999999997</v>
      </c>
      <c r="L52" s="430">
        <v>108.38</v>
      </c>
    </row>
    <row r="53" spans="1:12" x14ac:dyDescent="0.2">
      <c r="A53" s="432">
        <v>46204</v>
      </c>
      <c r="B53" s="2">
        <v>38</v>
      </c>
      <c r="C53" s="2">
        <v>1060738</v>
      </c>
      <c r="D53" s="2">
        <v>0.64</v>
      </c>
      <c r="E53" s="2">
        <v>1.71</v>
      </c>
      <c r="F53" s="2">
        <v>1.71</v>
      </c>
      <c r="G53" s="2">
        <v>38.33</v>
      </c>
      <c r="H53" s="2">
        <v>120.02</v>
      </c>
      <c r="I53" s="2">
        <v>37.5</v>
      </c>
      <c r="J53" s="2">
        <v>38.39</v>
      </c>
      <c r="K53" s="2">
        <v>37.090000000000003</v>
      </c>
      <c r="L53" s="2">
        <v>118.14</v>
      </c>
    </row>
    <row r="54" spans="1:12" x14ac:dyDescent="0.2">
      <c r="A54" s="431">
        <v>46203</v>
      </c>
      <c r="B54" s="430">
        <v>37.36</v>
      </c>
      <c r="C54" s="430">
        <v>1161195</v>
      </c>
      <c r="D54" s="430">
        <v>1.03</v>
      </c>
      <c r="E54" s="430">
        <v>2.84</v>
      </c>
      <c r="F54" s="430">
        <v>2.84</v>
      </c>
      <c r="G54" s="430">
        <v>37.68</v>
      </c>
      <c r="H54" s="430">
        <v>116.32</v>
      </c>
      <c r="I54" s="430">
        <v>36.200000000000003</v>
      </c>
      <c r="J54" s="430">
        <v>37.67</v>
      </c>
      <c r="K54" s="430">
        <v>36.200000000000003</v>
      </c>
      <c r="L54" s="430">
        <v>114.47</v>
      </c>
    </row>
    <row r="55" spans="1:12" x14ac:dyDescent="0.2">
      <c r="A55" s="432">
        <v>46202</v>
      </c>
      <c r="B55" s="2">
        <v>36.33</v>
      </c>
      <c r="C55" s="2">
        <v>1572434</v>
      </c>
      <c r="D55" s="2">
        <v>1.35</v>
      </c>
      <c r="E55" s="2">
        <v>3.86</v>
      </c>
      <c r="F55" s="2">
        <v>3.86</v>
      </c>
      <c r="G55" s="2">
        <v>36.64</v>
      </c>
      <c r="H55" s="2">
        <v>110.35</v>
      </c>
      <c r="I55" s="2">
        <v>35.049999999999997</v>
      </c>
      <c r="J55" s="2">
        <v>36.700000000000003</v>
      </c>
      <c r="K55" s="2">
        <v>35.020000000000003</v>
      </c>
      <c r="L55" s="2">
        <v>108.55</v>
      </c>
    </row>
    <row r="56" spans="1:12" x14ac:dyDescent="0.2">
      <c r="A56" s="431">
        <v>46199</v>
      </c>
      <c r="B56" s="430">
        <v>34.979999999999997</v>
      </c>
      <c r="C56" s="430">
        <v>2202180</v>
      </c>
      <c r="D56" s="430">
        <v>0.24</v>
      </c>
      <c r="E56" s="430">
        <v>0.69</v>
      </c>
      <c r="F56" s="430">
        <v>0.69</v>
      </c>
      <c r="G56" s="430">
        <v>35.28</v>
      </c>
      <c r="H56" s="430">
        <v>102.54</v>
      </c>
      <c r="I56" s="430">
        <v>34.42</v>
      </c>
      <c r="J56" s="430">
        <v>35.119999999999997</v>
      </c>
      <c r="K56" s="430">
        <v>33.78</v>
      </c>
      <c r="L56" s="430">
        <v>100.8</v>
      </c>
    </row>
    <row r="57" spans="1:12" x14ac:dyDescent="0.2">
      <c r="A57" s="432">
        <v>46198</v>
      </c>
      <c r="B57" s="2">
        <v>34.74</v>
      </c>
      <c r="C57" s="2">
        <v>1274717</v>
      </c>
      <c r="D57" s="2">
        <v>0.56000000000000005</v>
      </c>
      <c r="E57" s="2">
        <v>1.64</v>
      </c>
      <c r="F57" s="2">
        <v>1.64</v>
      </c>
      <c r="G57" s="2">
        <v>35.04</v>
      </c>
      <c r="H57" s="2">
        <v>101.15</v>
      </c>
      <c r="I57" s="2">
        <v>34.1</v>
      </c>
      <c r="J57" s="2">
        <v>35.19</v>
      </c>
      <c r="K57" s="2">
        <v>34.049999999999997</v>
      </c>
      <c r="L57" s="2">
        <v>99.43</v>
      </c>
    </row>
    <row r="58" spans="1:12" x14ac:dyDescent="0.2">
      <c r="A58" s="431">
        <v>46197</v>
      </c>
      <c r="B58" s="430">
        <v>34.18</v>
      </c>
      <c r="C58" s="430">
        <v>1224559</v>
      </c>
      <c r="D58" s="430">
        <v>0.33</v>
      </c>
      <c r="E58" s="430">
        <v>0.97</v>
      </c>
      <c r="F58" s="430">
        <v>0.97</v>
      </c>
      <c r="G58" s="430">
        <v>34.479999999999997</v>
      </c>
      <c r="H58" s="430">
        <v>97.91</v>
      </c>
      <c r="I58" s="430">
        <v>33.880000000000003</v>
      </c>
      <c r="J58" s="430">
        <v>34.5</v>
      </c>
      <c r="K58" s="430">
        <v>33.67</v>
      </c>
      <c r="L58" s="430">
        <v>96.21</v>
      </c>
    </row>
    <row r="59" spans="1:12" x14ac:dyDescent="0.2">
      <c r="A59" s="432">
        <v>46196</v>
      </c>
      <c r="B59" s="2">
        <v>33.85</v>
      </c>
      <c r="C59" s="2">
        <v>892029</v>
      </c>
      <c r="D59" s="2">
        <v>0.08</v>
      </c>
      <c r="E59" s="2">
        <v>0.24</v>
      </c>
      <c r="F59" s="2">
        <v>0.24</v>
      </c>
      <c r="G59" s="2">
        <v>34.14</v>
      </c>
      <c r="H59" s="2">
        <v>95.99</v>
      </c>
      <c r="I59" s="2">
        <v>33.22</v>
      </c>
      <c r="J59" s="2">
        <v>34.369999999999997</v>
      </c>
      <c r="K59" s="2">
        <v>32.590000000000003</v>
      </c>
      <c r="L59" s="2">
        <v>94.32</v>
      </c>
    </row>
    <row r="60" spans="1:12" x14ac:dyDescent="0.2">
      <c r="A60" s="431">
        <v>46195</v>
      </c>
      <c r="B60" s="430">
        <v>33.770000000000003</v>
      </c>
      <c r="C60" s="430">
        <v>1266807</v>
      </c>
      <c r="D60" s="430">
        <v>0.51</v>
      </c>
      <c r="E60" s="430">
        <v>1.53</v>
      </c>
      <c r="F60" s="430">
        <v>1.53</v>
      </c>
      <c r="G60" s="430">
        <v>34.06</v>
      </c>
      <c r="H60" s="430">
        <v>95.53</v>
      </c>
      <c r="I60" s="430">
        <v>33.409999999999997</v>
      </c>
      <c r="J60" s="430">
        <v>34.39</v>
      </c>
      <c r="K60" s="430">
        <v>33.270000000000003</v>
      </c>
      <c r="L60" s="430">
        <v>93.86</v>
      </c>
    </row>
    <row r="61" spans="1:12" x14ac:dyDescent="0.2">
      <c r="A61" s="432">
        <v>46191</v>
      </c>
      <c r="B61" s="2">
        <v>33.26</v>
      </c>
      <c r="C61" s="2">
        <v>3795410</v>
      </c>
      <c r="D61" s="2">
        <v>0.34</v>
      </c>
      <c r="E61" s="2">
        <v>1.03</v>
      </c>
      <c r="F61" s="2">
        <v>1.03</v>
      </c>
      <c r="G61" s="2">
        <v>33.549999999999997</v>
      </c>
      <c r="H61" s="2">
        <v>92.58</v>
      </c>
      <c r="I61" s="2">
        <v>33.32</v>
      </c>
      <c r="J61" s="2">
        <v>33.58</v>
      </c>
      <c r="K61" s="2">
        <v>32.049999999999997</v>
      </c>
      <c r="L61" s="2">
        <v>90.93</v>
      </c>
    </row>
    <row r="62" spans="1:12" x14ac:dyDescent="0.2">
      <c r="A62" s="431">
        <v>46190</v>
      </c>
      <c r="B62" s="430">
        <v>32.92</v>
      </c>
      <c r="C62" s="430">
        <v>1174766</v>
      </c>
      <c r="D62" s="430">
        <v>0.49</v>
      </c>
      <c r="E62" s="430">
        <v>1.51</v>
      </c>
      <c r="F62" s="430">
        <v>1.51</v>
      </c>
      <c r="G62" s="430">
        <v>33.200000000000003</v>
      </c>
      <c r="H62" s="430">
        <v>90.61</v>
      </c>
      <c r="I62" s="430">
        <v>32.659999999999997</v>
      </c>
      <c r="J62" s="430">
        <v>33.46</v>
      </c>
      <c r="K62" s="430">
        <v>32.44</v>
      </c>
      <c r="L62" s="430">
        <v>88.98</v>
      </c>
    </row>
    <row r="63" spans="1:12" x14ac:dyDescent="0.2">
      <c r="A63" s="432">
        <v>46189</v>
      </c>
      <c r="B63" s="2">
        <v>32.43</v>
      </c>
      <c r="C63" s="2">
        <v>870270</v>
      </c>
      <c r="D63" s="2">
        <v>-0.27</v>
      </c>
      <c r="E63" s="2">
        <v>-0.83</v>
      </c>
      <c r="F63" s="2">
        <v>-0.83</v>
      </c>
      <c r="G63" s="2">
        <v>32.71</v>
      </c>
      <c r="H63" s="2">
        <v>87.77</v>
      </c>
      <c r="I63" s="2">
        <v>32.700000000000003</v>
      </c>
      <c r="J63" s="2">
        <v>33.479999999999997</v>
      </c>
      <c r="K63" s="2">
        <v>32.31</v>
      </c>
      <c r="L63" s="2">
        <v>86.17</v>
      </c>
    </row>
    <row r="64" spans="1:12" x14ac:dyDescent="0.2">
      <c r="A64" s="431">
        <v>46188</v>
      </c>
      <c r="B64" s="430">
        <v>32.700000000000003</v>
      </c>
      <c r="C64" s="430">
        <v>1312883</v>
      </c>
      <c r="D64" s="430">
        <v>0.94</v>
      </c>
      <c r="E64" s="430">
        <v>2.96</v>
      </c>
      <c r="F64" s="430">
        <v>2.96</v>
      </c>
      <c r="G64" s="430">
        <v>32.979999999999997</v>
      </c>
      <c r="H64" s="430">
        <v>89.34</v>
      </c>
      <c r="I64" s="430">
        <v>32</v>
      </c>
      <c r="J64" s="430">
        <v>33.64</v>
      </c>
      <c r="K64" s="430">
        <v>31.52</v>
      </c>
      <c r="L64" s="430">
        <v>87.72</v>
      </c>
    </row>
    <row r="65" spans="1:12" x14ac:dyDescent="0.2">
      <c r="A65" s="432">
        <v>46185</v>
      </c>
      <c r="B65" s="2">
        <v>31.76</v>
      </c>
      <c r="C65" s="2">
        <v>1104419</v>
      </c>
      <c r="D65" s="2">
        <v>-0.9</v>
      </c>
      <c r="E65" s="2">
        <v>-2.76</v>
      </c>
      <c r="F65" s="2">
        <v>-2.76</v>
      </c>
      <c r="G65" s="2">
        <v>32.03</v>
      </c>
      <c r="H65" s="2">
        <v>83.89</v>
      </c>
      <c r="I65" s="2">
        <v>32.99</v>
      </c>
      <c r="J65" s="2">
        <v>33.479999999999997</v>
      </c>
      <c r="K65" s="2">
        <v>31.75</v>
      </c>
      <c r="L65" s="2">
        <v>82.32</v>
      </c>
    </row>
    <row r="66" spans="1:12" x14ac:dyDescent="0.2">
      <c r="A66" s="431">
        <v>46184</v>
      </c>
      <c r="B66" s="430">
        <v>32.659999999999997</v>
      </c>
      <c r="C66" s="430">
        <v>1009030</v>
      </c>
      <c r="D66" s="430">
        <v>0.94</v>
      </c>
      <c r="E66" s="430">
        <v>2.96</v>
      </c>
      <c r="F66" s="430">
        <v>2.96</v>
      </c>
      <c r="G66" s="430">
        <v>32.94</v>
      </c>
      <c r="H66" s="430">
        <v>89.1</v>
      </c>
      <c r="I66" s="430">
        <v>31.69</v>
      </c>
      <c r="J66" s="430">
        <v>32.75</v>
      </c>
      <c r="K66" s="430">
        <v>31.1</v>
      </c>
      <c r="L66" s="430">
        <v>87.49</v>
      </c>
    </row>
    <row r="67" spans="1:12" x14ac:dyDescent="0.2">
      <c r="A67" s="432">
        <v>46183</v>
      </c>
      <c r="B67" s="2">
        <v>31.72</v>
      </c>
      <c r="C67" s="2">
        <v>1000567</v>
      </c>
      <c r="D67" s="2">
        <v>0.77</v>
      </c>
      <c r="E67" s="2">
        <v>2.4900000000000002</v>
      </c>
      <c r="F67" s="2">
        <v>2.4900000000000002</v>
      </c>
      <c r="G67" s="2">
        <v>31.99</v>
      </c>
      <c r="H67" s="2">
        <v>83.66</v>
      </c>
      <c r="I67" s="2">
        <v>30.49</v>
      </c>
      <c r="J67" s="2">
        <v>32.15</v>
      </c>
      <c r="K67" s="2">
        <v>30.31</v>
      </c>
      <c r="L67" s="2">
        <v>82.09</v>
      </c>
    </row>
    <row r="68" spans="1:12" x14ac:dyDescent="0.2">
      <c r="A68" s="431">
        <v>46182</v>
      </c>
      <c r="B68" s="430">
        <v>30.95</v>
      </c>
      <c r="C68" s="430">
        <v>1373393</v>
      </c>
      <c r="D68" s="430">
        <v>-0.03</v>
      </c>
      <c r="E68" s="430">
        <v>-0.1</v>
      </c>
      <c r="F68" s="430">
        <v>-0.1</v>
      </c>
      <c r="G68" s="430">
        <v>31.22</v>
      </c>
      <c r="H68" s="430">
        <v>79.2</v>
      </c>
      <c r="I68" s="430">
        <v>30.98</v>
      </c>
      <c r="J68" s="430">
        <v>31.26</v>
      </c>
      <c r="K68" s="430">
        <v>29.83</v>
      </c>
      <c r="L68" s="430">
        <v>77.67</v>
      </c>
    </row>
    <row r="69" spans="1:12" x14ac:dyDescent="0.2">
      <c r="A69" s="432">
        <v>46181</v>
      </c>
      <c r="B69" s="2">
        <v>30.98</v>
      </c>
      <c r="C69" s="2">
        <v>1009677</v>
      </c>
      <c r="D69" s="2">
        <v>0.41</v>
      </c>
      <c r="E69" s="2">
        <v>1.34</v>
      </c>
      <c r="F69" s="2">
        <v>1.34</v>
      </c>
      <c r="G69" s="2">
        <v>31.25</v>
      </c>
      <c r="H69" s="2">
        <v>79.38</v>
      </c>
      <c r="I69" s="2">
        <v>31.3</v>
      </c>
      <c r="J69" s="2">
        <v>31.5</v>
      </c>
      <c r="K69" s="2">
        <v>30.53</v>
      </c>
      <c r="L69" s="2">
        <v>77.84</v>
      </c>
    </row>
    <row r="70" spans="1:12" x14ac:dyDescent="0.2">
      <c r="A70" s="431">
        <v>46178</v>
      </c>
      <c r="B70" s="430">
        <v>30.57</v>
      </c>
      <c r="C70" s="430">
        <v>1269151</v>
      </c>
      <c r="D70" s="430">
        <v>-1.1299999999999999</v>
      </c>
      <c r="E70" s="430">
        <v>-3.56</v>
      </c>
      <c r="F70" s="430">
        <v>-3.56</v>
      </c>
      <c r="G70" s="430">
        <v>30.83</v>
      </c>
      <c r="H70" s="430">
        <v>77</v>
      </c>
      <c r="I70" s="430">
        <v>31.46</v>
      </c>
      <c r="J70" s="430">
        <v>31.73</v>
      </c>
      <c r="K70" s="430">
        <v>30.12</v>
      </c>
      <c r="L70" s="430">
        <v>75.489999999999995</v>
      </c>
    </row>
    <row r="71" spans="1:12" x14ac:dyDescent="0.2">
      <c r="A71" s="432">
        <v>46177</v>
      </c>
      <c r="B71" s="2">
        <v>31.7</v>
      </c>
      <c r="C71" s="2">
        <v>951194</v>
      </c>
      <c r="D71" s="2">
        <v>0.26</v>
      </c>
      <c r="E71" s="2">
        <v>0.83</v>
      </c>
      <c r="F71" s="2">
        <v>0.83</v>
      </c>
      <c r="G71" s="2">
        <v>31.97</v>
      </c>
      <c r="H71" s="2">
        <v>83.55</v>
      </c>
      <c r="I71" s="2">
        <v>31.09</v>
      </c>
      <c r="J71" s="2">
        <v>31.88</v>
      </c>
      <c r="K71" s="2">
        <v>30.49</v>
      </c>
      <c r="L71" s="2">
        <v>81.97</v>
      </c>
    </row>
    <row r="72" spans="1:12" x14ac:dyDescent="0.2">
      <c r="A72" s="431">
        <v>46176</v>
      </c>
      <c r="B72" s="430">
        <v>31.44</v>
      </c>
      <c r="C72" s="430">
        <v>1156205</v>
      </c>
      <c r="D72" s="430">
        <v>-1.2</v>
      </c>
      <c r="E72" s="430">
        <v>-3.68</v>
      </c>
      <c r="F72" s="430">
        <v>-3.68</v>
      </c>
      <c r="G72" s="430">
        <v>31.71</v>
      </c>
      <c r="H72" s="430">
        <v>82.04</v>
      </c>
      <c r="I72" s="430">
        <v>32.090000000000003</v>
      </c>
      <c r="J72" s="430">
        <v>32.36</v>
      </c>
      <c r="K72" s="430">
        <v>31.07</v>
      </c>
      <c r="L72" s="430">
        <v>80.48</v>
      </c>
    </row>
    <row r="73" spans="1:12" x14ac:dyDescent="0.2">
      <c r="A73" s="432">
        <v>46175</v>
      </c>
      <c r="B73" s="2">
        <v>32.64</v>
      </c>
      <c r="C73" s="2">
        <v>1723678</v>
      </c>
      <c r="D73" s="2">
        <v>1.1000000000000001</v>
      </c>
      <c r="E73" s="2">
        <v>3.49</v>
      </c>
      <c r="F73" s="2">
        <v>3.49</v>
      </c>
      <c r="G73" s="2">
        <v>32.92</v>
      </c>
      <c r="H73" s="2">
        <v>88.99</v>
      </c>
      <c r="I73" s="2">
        <v>31</v>
      </c>
      <c r="J73" s="2">
        <v>32.950000000000003</v>
      </c>
      <c r="K73" s="2">
        <v>30.7</v>
      </c>
      <c r="L73" s="2">
        <v>87.37</v>
      </c>
    </row>
    <row r="74" spans="1:12" x14ac:dyDescent="0.2">
      <c r="A74" s="431">
        <v>46174</v>
      </c>
      <c r="B74" s="430">
        <v>31.54</v>
      </c>
      <c r="C74" s="430">
        <v>1528277</v>
      </c>
      <c r="D74" s="430">
        <v>1.4</v>
      </c>
      <c r="E74" s="430">
        <v>4.6399999999999997</v>
      </c>
      <c r="F74" s="430">
        <v>4.6399999999999997</v>
      </c>
      <c r="G74" s="430">
        <v>31.81</v>
      </c>
      <c r="H74" s="430">
        <v>82.62</v>
      </c>
      <c r="I74" s="430">
        <v>30.62</v>
      </c>
      <c r="J74" s="430">
        <v>31.75</v>
      </c>
      <c r="K74" s="430">
        <v>30.24</v>
      </c>
      <c r="L74" s="430">
        <v>81.06</v>
      </c>
    </row>
    <row r="75" spans="1:12" x14ac:dyDescent="0.2">
      <c r="A75" s="432">
        <v>46171</v>
      </c>
      <c r="B75" s="2">
        <v>30.14</v>
      </c>
      <c r="C75" s="2">
        <v>1328287</v>
      </c>
      <c r="D75" s="2">
        <v>0.9</v>
      </c>
      <c r="E75" s="2">
        <v>3.08</v>
      </c>
      <c r="F75" s="2">
        <v>3.08</v>
      </c>
      <c r="G75" s="2">
        <v>30.4</v>
      </c>
      <c r="H75" s="2">
        <v>74.510000000000005</v>
      </c>
      <c r="I75" s="2">
        <v>29.45</v>
      </c>
      <c r="J75" s="2">
        <v>30.42</v>
      </c>
      <c r="K75" s="2">
        <v>29.38</v>
      </c>
      <c r="L75" s="2">
        <v>73.02</v>
      </c>
    </row>
    <row r="76" spans="1:12" x14ac:dyDescent="0.2">
      <c r="A76" s="431">
        <v>46170</v>
      </c>
      <c r="B76" s="430">
        <v>29.24</v>
      </c>
      <c r="C76" s="430">
        <v>1171702</v>
      </c>
      <c r="D76" s="430">
        <v>0.09</v>
      </c>
      <c r="E76" s="430">
        <v>0.31</v>
      </c>
      <c r="F76" s="430">
        <v>0.31</v>
      </c>
      <c r="G76" s="430">
        <v>29.49</v>
      </c>
      <c r="H76" s="430">
        <v>69.3</v>
      </c>
      <c r="I76" s="430">
        <v>29.23</v>
      </c>
      <c r="J76" s="430">
        <v>29.46</v>
      </c>
      <c r="K76" s="430">
        <v>28.57</v>
      </c>
      <c r="L76" s="430">
        <v>67.849999999999994</v>
      </c>
    </row>
    <row r="77" spans="1:12" x14ac:dyDescent="0.2">
      <c r="A77" s="432">
        <v>46169</v>
      </c>
      <c r="B77" s="2">
        <v>29.15</v>
      </c>
      <c r="C77" s="2">
        <v>1051519</v>
      </c>
      <c r="D77" s="2">
        <v>-0.41</v>
      </c>
      <c r="E77" s="2">
        <v>-1.39</v>
      </c>
      <c r="F77" s="2">
        <v>-1.39</v>
      </c>
      <c r="G77" s="2">
        <v>29.4</v>
      </c>
      <c r="H77" s="2">
        <v>68.78</v>
      </c>
      <c r="I77" s="2">
        <v>29.4</v>
      </c>
      <c r="J77" s="2">
        <v>29.51</v>
      </c>
      <c r="K77" s="2">
        <v>28.51</v>
      </c>
      <c r="L77" s="2">
        <v>67.34</v>
      </c>
    </row>
    <row r="78" spans="1:12" x14ac:dyDescent="0.2">
      <c r="A78" s="431">
        <v>46168</v>
      </c>
      <c r="B78" s="430">
        <v>29.56</v>
      </c>
      <c r="C78" s="430">
        <v>742980</v>
      </c>
      <c r="D78" s="430">
        <v>0.4</v>
      </c>
      <c r="E78" s="430">
        <v>1.37</v>
      </c>
      <c r="F78" s="430">
        <v>1.37</v>
      </c>
      <c r="G78" s="430">
        <v>29.82</v>
      </c>
      <c r="H78" s="430">
        <v>71.150000000000006</v>
      </c>
      <c r="I78" s="430">
        <v>29.11</v>
      </c>
      <c r="J78" s="430">
        <v>29.66</v>
      </c>
      <c r="K78" s="430">
        <v>28.53</v>
      </c>
      <c r="L78" s="430">
        <v>69.69</v>
      </c>
    </row>
    <row r="79" spans="1:12" x14ac:dyDescent="0.2">
      <c r="A79" s="432">
        <v>46164</v>
      </c>
      <c r="B79" s="2">
        <v>29.16</v>
      </c>
      <c r="C79" s="2">
        <v>839519</v>
      </c>
      <c r="D79" s="2">
        <v>0.83</v>
      </c>
      <c r="E79" s="2">
        <v>2.93</v>
      </c>
      <c r="F79" s="2">
        <v>2.93</v>
      </c>
      <c r="G79" s="2">
        <v>29.41</v>
      </c>
      <c r="H79" s="2">
        <v>68.84</v>
      </c>
      <c r="I79" s="2">
        <v>28.75</v>
      </c>
      <c r="J79" s="2">
        <v>30.05</v>
      </c>
      <c r="K79" s="2">
        <v>28.49</v>
      </c>
      <c r="L79" s="2">
        <v>67.39</v>
      </c>
    </row>
    <row r="80" spans="1:12" x14ac:dyDescent="0.2">
      <c r="A80" s="431">
        <v>46163</v>
      </c>
      <c r="B80" s="430">
        <v>28.33</v>
      </c>
      <c r="C80" s="430">
        <v>658977</v>
      </c>
      <c r="D80" s="430">
        <v>-0.35</v>
      </c>
      <c r="E80" s="430">
        <v>-1.22</v>
      </c>
      <c r="F80" s="430">
        <v>-1.22</v>
      </c>
      <c r="G80" s="430">
        <v>28.57</v>
      </c>
      <c r="H80" s="430">
        <v>64.03</v>
      </c>
      <c r="I80" s="430">
        <v>28.37</v>
      </c>
      <c r="J80" s="430">
        <v>28.53</v>
      </c>
      <c r="K80" s="430">
        <v>28.03</v>
      </c>
      <c r="L80" s="430">
        <v>62.63</v>
      </c>
    </row>
    <row r="81" spans="1:12" x14ac:dyDescent="0.2">
      <c r="A81" s="432">
        <v>46162</v>
      </c>
      <c r="B81" s="2">
        <v>28.68</v>
      </c>
      <c r="C81" s="2">
        <v>1010828</v>
      </c>
      <c r="D81" s="2">
        <v>0.4</v>
      </c>
      <c r="E81" s="2">
        <v>1.41</v>
      </c>
      <c r="F81" s="2">
        <v>1.41</v>
      </c>
      <c r="G81" s="2">
        <v>28.93</v>
      </c>
      <c r="H81" s="2">
        <v>66.06</v>
      </c>
      <c r="I81" s="2">
        <v>28.24</v>
      </c>
      <c r="J81" s="2">
        <v>29.13</v>
      </c>
      <c r="K81" s="2">
        <v>27.97</v>
      </c>
      <c r="L81" s="2">
        <v>64.64</v>
      </c>
    </row>
    <row r="82" spans="1:12" x14ac:dyDescent="0.2">
      <c r="A82" s="431">
        <v>46161</v>
      </c>
      <c r="B82" s="430">
        <v>28.28</v>
      </c>
      <c r="C82" s="430">
        <v>605924</v>
      </c>
      <c r="D82" s="430">
        <v>0.16</v>
      </c>
      <c r="E82" s="430">
        <v>0.56999999999999995</v>
      </c>
      <c r="F82" s="430">
        <v>0.56999999999999995</v>
      </c>
      <c r="G82" s="430">
        <v>28.52</v>
      </c>
      <c r="H82" s="430">
        <v>63.74</v>
      </c>
      <c r="I82" s="430">
        <v>28.11</v>
      </c>
      <c r="J82" s="430">
        <v>28.43</v>
      </c>
      <c r="K82" s="430">
        <v>27.7</v>
      </c>
      <c r="L82" s="430">
        <v>62.34</v>
      </c>
    </row>
    <row r="83" spans="1:12" x14ac:dyDescent="0.2">
      <c r="A83" s="432">
        <v>46160</v>
      </c>
      <c r="B83" s="2">
        <v>28.12</v>
      </c>
      <c r="C83" s="2">
        <v>811949</v>
      </c>
      <c r="D83" s="2">
        <v>0.17</v>
      </c>
      <c r="E83" s="2">
        <v>0.61</v>
      </c>
      <c r="F83" s="2">
        <v>0.61</v>
      </c>
      <c r="G83" s="2">
        <v>28.36</v>
      </c>
      <c r="H83" s="2">
        <v>62.82</v>
      </c>
      <c r="I83" s="2">
        <v>28.01</v>
      </c>
      <c r="J83" s="2">
        <v>28.51</v>
      </c>
      <c r="K83" s="2">
        <v>27.82</v>
      </c>
      <c r="L83" s="2">
        <v>61.42</v>
      </c>
    </row>
    <row r="84" spans="1:12" x14ac:dyDescent="0.2">
      <c r="A84" s="431">
        <v>46157</v>
      </c>
      <c r="B84" s="430">
        <v>27.95</v>
      </c>
      <c r="C84" s="430">
        <v>1120662</v>
      </c>
      <c r="D84" s="430">
        <v>-0.08</v>
      </c>
      <c r="E84" s="430">
        <v>-0.28999999999999998</v>
      </c>
      <c r="F84" s="430">
        <v>-7.0000000000000007E-2</v>
      </c>
      <c r="G84" s="430">
        <v>28.19</v>
      </c>
      <c r="H84" s="430">
        <v>61.83</v>
      </c>
      <c r="I84" s="430">
        <v>27.74</v>
      </c>
      <c r="J84" s="430">
        <v>28.66</v>
      </c>
      <c r="K84" s="430">
        <v>27.25</v>
      </c>
      <c r="L84" s="430">
        <v>60.45</v>
      </c>
    </row>
    <row r="85" spans="1:12" x14ac:dyDescent="0.2">
      <c r="A85" s="432">
        <v>46156</v>
      </c>
      <c r="B85" s="2">
        <v>28.03</v>
      </c>
      <c r="C85" s="2">
        <v>772513</v>
      </c>
      <c r="D85" s="2">
        <v>0.3</v>
      </c>
      <c r="E85" s="2">
        <v>1.08</v>
      </c>
      <c r="F85" s="2">
        <v>1.08</v>
      </c>
      <c r="G85" s="2">
        <v>28.21</v>
      </c>
      <c r="H85" s="2">
        <v>61.95</v>
      </c>
      <c r="I85" s="2">
        <v>27.87</v>
      </c>
      <c r="J85" s="2">
        <v>28.21</v>
      </c>
      <c r="K85" s="2">
        <v>27.46</v>
      </c>
      <c r="L85" s="2">
        <v>60.91</v>
      </c>
    </row>
    <row r="86" spans="1:12" x14ac:dyDescent="0.2">
      <c r="A86" s="431">
        <v>46155</v>
      </c>
      <c r="B86" s="430">
        <v>27.73</v>
      </c>
      <c r="C86" s="430">
        <v>716505</v>
      </c>
      <c r="D86" s="430">
        <v>0.38</v>
      </c>
      <c r="E86" s="430">
        <v>1.39</v>
      </c>
      <c r="F86" s="430">
        <v>1.39</v>
      </c>
      <c r="G86" s="430">
        <v>27.91</v>
      </c>
      <c r="H86" s="430">
        <v>60.22</v>
      </c>
      <c r="I86" s="430">
        <v>27.4</v>
      </c>
      <c r="J86" s="430">
        <v>27.98</v>
      </c>
      <c r="K86" s="430">
        <v>27.03</v>
      </c>
      <c r="L86" s="430">
        <v>59.18</v>
      </c>
    </row>
    <row r="87" spans="1:12" x14ac:dyDescent="0.2">
      <c r="A87" s="432">
        <v>46154</v>
      </c>
      <c r="B87" s="2">
        <v>27.35</v>
      </c>
      <c r="C87" s="2">
        <v>849177</v>
      </c>
      <c r="D87" s="2">
        <v>-0.67</v>
      </c>
      <c r="E87" s="2">
        <v>-2.39</v>
      </c>
      <c r="F87" s="2">
        <v>-2.39</v>
      </c>
      <c r="G87" s="2">
        <v>27.53</v>
      </c>
      <c r="H87" s="2">
        <v>58.02</v>
      </c>
      <c r="I87" s="2">
        <v>28</v>
      </c>
      <c r="J87" s="2">
        <v>28.33</v>
      </c>
      <c r="K87" s="2">
        <v>27.3</v>
      </c>
      <c r="L87" s="2">
        <v>57</v>
      </c>
    </row>
    <row r="88" spans="1:12" x14ac:dyDescent="0.2">
      <c r="A88" s="431">
        <v>46153</v>
      </c>
      <c r="B88" s="430">
        <v>28.02</v>
      </c>
      <c r="C88" s="430">
        <v>979623</v>
      </c>
      <c r="D88" s="430">
        <v>0.22</v>
      </c>
      <c r="E88" s="430">
        <v>0.79</v>
      </c>
      <c r="F88" s="430">
        <v>0.79</v>
      </c>
      <c r="G88" s="430">
        <v>28.2</v>
      </c>
      <c r="H88" s="430">
        <v>61.89</v>
      </c>
      <c r="I88" s="430">
        <v>27.5</v>
      </c>
      <c r="J88" s="430">
        <v>28.02</v>
      </c>
      <c r="K88" s="430">
        <v>27.42</v>
      </c>
      <c r="L88" s="430">
        <v>60.85</v>
      </c>
    </row>
    <row r="89" spans="1:12" x14ac:dyDescent="0.2">
      <c r="A89" s="432">
        <v>46150</v>
      </c>
      <c r="B89" s="2">
        <v>27.8</v>
      </c>
      <c r="C89" s="2">
        <v>1134147</v>
      </c>
      <c r="D89" s="2">
        <v>0.53</v>
      </c>
      <c r="E89" s="2">
        <v>1.94</v>
      </c>
      <c r="F89" s="2">
        <v>1.94</v>
      </c>
      <c r="G89" s="2">
        <v>27.98</v>
      </c>
      <c r="H89" s="2">
        <v>60.62</v>
      </c>
      <c r="I89" s="2">
        <v>27.03</v>
      </c>
      <c r="J89" s="2">
        <v>28.1</v>
      </c>
      <c r="K89" s="2">
        <v>26.91</v>
      </c>
      <c r="L89" s="2">
        <v>59.59</v>
      </c>
    </row>
    <row r="90" spans="1:12" x14ac:dyDescent="0.2">
      <c r="A90" s="431">
        <v>46149</v>
      </c>
      <c r="B90" s="430">
        <v>27.27</v>
      </c>
      <c r="C90" s="430">
        <v>1561419</v>
      </c>
      <c r="D90" s="430">
        <v>0.55000000000000004</v>
      </c>
      <c r="E90" s="430">
        <v>2.06</v>
      </c>
      <c r="F90" s="430">
        <v>2.06</v>
      </c>
      <c r="G90" s="430">
        <v>27.45</v>
      </c>
      <c r="H90" s="430">
        <v>57.56</v>
      </c>
      <c r="I90" s="430">
        <v>27.24</v>
      </c>
      <c r="J90" s="430">
        <v>27.91</v>
      </c>
      <c r="K90" s="430">
        <v>26.69</v>
      </c>
      <c r="L90" s="430">
        <v>56.54</v>
      </c>
    </row>
    <row r="91" spans="1:12" x14ac:dyDescent="0.2">
      <c r="A91" s="432">
        <v>46148</v>
      </c>
      <c r="B91" s="2">
        <v>26.72</v>
      </c>
      <c r="C91" s="2">
        <v>851443</v>
      </c>
      <c r="D91" s="2">
        <v>-0.41</v>
      </c>
      <c r="E91" s="2">
        <v>-1.51</v>
      </c>
      <c r="F91" s="2">
        <v>-1.51</v>
      </c>
      <c r="G91" s="2">
        <v>26.89</v>
      </c>
      <c r="H91" s="2">
        <v>54.38</v>
      </c>
      <c r="I91" s="2">
        <v>27.05</v>
      </c>
      <c r="J91" s="2">
        <v>27.4</v>
      </c>
      <c r="K91" s="2">
        <v>26.47</v>
      </c>
      <c r="L91" s="2">
        <v>53.39</v>
      </c>
    </row>
    <row r="92" spans="1:12" x14ac:dyDescent="0.2">
      <c r="A92" s="431">
        <v>46147</v>
      </c>
      <c r="B92" s="430">
        <v>27.13</v>
      </c>
      <c r="C92" s="430">
        <v>690034</v>
      </c>
      <c r="D92" s="430">
        <v>0.09</v>
      </c>
      <c r="E92" s="430">
        <v>0.33</v>
      </c>
      <c r="F92" s="430">
        <v>0.33</v>
      </c>
      <c r="G92" s="430">
        <v>27.31</v>
      </c>
      <c r="H92" s="430">
        <v>56.75</v>
      </c>
      <c r="I92" s="430">
        <v>27.18</v>
      </c>
      <c r="J92" s="430">
        <v>27.42</v>
      </c>
      <c r="K92" s="430">
        <v>26.85</v>
      </c>
      <c r="L92" s="430">
        <v>55.74</v>
      </c>
    </row>
    <row r="93" spans="1:12" x14ac:dyDescent="0.2">
      <c r="A93" s="432">
        <v>46146</v>
      </c>
      <c r="B93" s="2">
        <v>27.04</v>
      </c>
      <c r="C93" s="2">
        <v>698565</v>
      </c>
      <c r="D93" s="2">
        <v>0.19</v>
      </c>
      <c r="E93" s="2">
        <v>0.71</v>
      </c>
      <c r="F93" s="2">
        <v>0.71</v>
      </c>
      <c r="G93" s="2">
        <v>27.21</v>
      </c>
      <c r="H93" s="2">
        <v>56.23</v>
      </c>
      <c r="I93" s="2">
        <v>26.82</v>
      </c>
      <c r="J93" s="2">
        <v>27.45</v>
      </c>
      <c r="K93" s="2">
        <v>26.7</v>
      </c>
      <c r="L93" s="2">
        <v>55.22</v>
      </c>
    </row>
    <row r="94" spans="1:12" x14ac:dyDescent="0.2">
      <c r="A94" s="431">
        <v>46143</v>
      </c>
      <c r="B94" s="430">
        <v>26.85</v>
      </c>
      <c r="C94" s="430">
        <v>854167</v>
      </c>
      <c r="D94" s="430">
        <v>0.17</v>
      </c>
      <c r="E94" s="430">
        <v>0.64</v>
      </c>
      <c r="F94" s="430">
        <v>0.64</v>
      </c>
      <c r="G94" s="430">
        <v>27.02</v>
      </c>
      <c r="H94" s="430">
        <v>55.13</v>
      </c>
      <c r="I94" s="430">
        <v>27.11</v>
      </c>
      <c r="J94" s="430">
        <v>27.31</v>
      </c>
      <c r="K94" s="430">
        <v>26.45</v>
      </c>
      <c r="L94" s="430">
        <v>54.13</v>
      </c>
    </row>
    <row r="95" spans="1:12" x14ac:dyDescent="0.2">
      <c r="A95" s="432">
        <v>46142</v>
      </c>
      <c r="B95" s="2">
        <v>26.68</v>
      </c>
      <c r="C95" s="2">
        <v>1331220</v>
      </c>
      <c r="D95" s="2">
        <v>0.05</v>
      </c>
      <c r="E95" s="2">
        <v>0.19</v>
      </c>
      <c r="F95" s="2">
        <v>0.19</v>
      </c>
      <c r="G95" s="2">
        <v>26.85</v>
      </c>
      <c r="H95" s="2">
        <v>54.15</v>
      </c>
      <c r="I95" s="2">
        <v>26.54</v>
      </c>
      <c r="J95" s="2">
        <v>26.88</v>
      </c>
      <c r="K95" s="2">
        <v>25.46</v>
      </c>
      <c r="L95" s="2">
        <v>53.16</v>
      </c>
    </row>
    <row r="96" spans="1:12" x14ac:dyDescent="0.2">
      <c r="A96" s="431">
        <v>46141</v>
      </c>
      <c r="B96" s="430">
        <v>26.63</v>
      </c>
      <c r="C96" s="430">
        <v>2078406</v>
      </c>
      <c r="D96" s="430">
        <v>-1.5</v>
      </c>
      <c r="E96" s="430">
        <v>-5.33</v>
      </c>
      <c r="F96" s="430">
        <v>-5.33</v>
      </c>
      <c r="G96" s="430">
        <v>26.8</v>
      </c>
      <c r="H96" s="430">
        <v>53.86</v>
      </c>
      <c r="I96" s="430">
        <v>27.05</v>
      </c>
      <c r="J96" s="430">
        <v>27.19</v>
      </c>
      <c r="K96" s="430">
        <v>25</v>
      </c>
      <c r="L96" s="430">
        <v>52.87</v>
      </c>
    </row>
    <row r="97" spans="1:12" x14ac:dyDescent="0.2">
      <c r="A97" s="432">
        <v>46140</v>
      </c>
      <c r="B97" s="2">
        <v>28.13</v>
      </c>
      <c r="C97" s="2">
        <v>1094188</v>
      </c>
      <c r="D97" s="2">
        <v>0.44</v>
      </c>
      <c r="E97" s="2">
        <v>1.59</v>
      </c>
      <c r="F97" s="2">
        <v>1.59</v>
      </c>
      <c r="G97" s="2">
        <v>28.31</v>
      </c>
      <c r="H97" s="2">
        <v>62.53</v>
      </c>
      <c r="I97" s="2">
        <v>27.68</v>
      </c>
      <c r="J97" s="2">
        <v>28.19</v>
      </c>
      <c r="K97" s="2">
        <v>27.43</v>
      </c>
      <c r="L97" s="2">
        <v>61.48</v>
      </c>
    </row>
    <row r="98" spans="1:12" x14ac:dyDescent="0.2">
      <c r="A98" s="431">
        <v>46139</v>
      </c>
      <c r="B98" s="430">
        <v>27.69</v>
      </c>
      <c r="C98" s="430">
        <v>734076</v>
      </c>
      <c r="D98" s="430">
        <v>0.13</v>
      </c>
      <c r="E98" s="430">
        <v>0.47</v>
      </c>
      <c r="F98" s="430">
        <v>0.47</v>
      </c>
      <c r="G98" s="430">
        <v>27.87</v>
      </c>
      <c r="H98" s="430">
        <v>59.98</v>
      </c>
      <c r="I98" s="430">
        <v>27.55</v>
      </c>
      <c r="J98" s="430">
        <v>28</v>
      </c>
      <c r="K98" s="430">
        <v>27.31</v>
      </c>
      <c r="L98" s="430">
        <v>58.96</v>
      </c>
    </row>
    <row r="99" spans="1:12" x14ac:dyDescent="0.2">
      <c r="A99" s="432">
        <v>46136</v>
      </c>
      <c r="B99" s="2">
        <v>27.56</v>
      </c>
      <c r="C99" s="2">
        <v>973855</v>
      </c>
      <c r="D99" s="2">
        <v>0.94</v>
      </c>
      <c r="E99" s="2">
        <v>3.53</v>
      </c>
      <c r="F99" s="2">
        <v>3.53</v>
      </c>
      <c r="G99" s="2">
        <v>27.74</v>
      </c>
      <c r="H99" s="2">
        <v>59.23</v>
      </c>
      <c r="I99" s="2">
        <v>26.67</v>
      </c>
      <c r="J99" s="2">
        <v>27.6</v>
      </c>
      <c r="K99" s="2">
        <v>26.45</v>
      </c>
      <c r="L99" s="2">
        <v>58.21</v>
      </c>
    </row>
    <row r="100" spans="1:12" x14ac:dyDescent="0.2">
      <c r="A100" s="431">
        <v>46135</v>
      </c>
      <c r="B100" s="430">
        <v>26.62</v>
      </c>
      <c r="C100" s="430">
        <v>811864</v>
      </c>
      <c r="D100" s="430">
        <v>-1.03</v>
      </c>
      <c r="E100" s="430">
        <v>-3.73</v>
      </c>
      <c r="F100" s="430">
        <v>-3.73</v>
      </c>
      <c r="G100" s="430">
        <v>26.79</v>
      </c>
      <c r="H100" s="430">
        <v>53.8</v>
      </c>
      <c r="I100" s="430">
        <v>27.37</v>
      </c>
      <c r="J100" s="430">
        <v>27.43</v>
      </c>
      <c r="K100" s="430">
        <v>26.39</v>
      </c>
      <c r="L100" s="430">
        <v>52.81</v>
      </c>
    </row>
    <row r="101" spans="1:12" x14ac:dyDescent="0.2">
      <c r="A101" s="432">
        <v>46134</v>
      </c>
      <c r="B101" s="2">
        <v>27.65</v>
      </c>
      <c r="C101" s="2">
        <v>914823</v>
      </c>
      <c r="D101" s="2">
        <v>-0.06</v>
      </c>
      <c r="E101" s="2">
        <v>-0.22</v>
      </c>
      <c r="F101" s="2">
        <v>-0.22</v>
      </c>
      <c r="G101" s="2">
        <v>27.83</v>
      </c>
      <c r="H101" s="2">
        <v>59.75</v>
      </c>
      <c r="I101" s="2">
        <v>27.99</v>
      </c>
      <c r="J101" s="2">
        <v>28.1</v>
      </c>
      <c r="K101" s="2">
        <v>27.43</v>
      </c>
      <c r="L101" s="2">
        <v>58.73</v>
      </c>
    </row>
    <row r="102" spans="1:12" x14ac:dyDescent="0.2">
      <c r="A102" s="431">
        <v>46133</v>
      </c>
      <c r="B102" s="430">
        <v>27.71</v>
      </c>
      <c r="C102" s="430">
        <v>1091032</v>
      </c>
      <c r="D102" s="430">
        <v>0.49</v>
      </c>
      <c r="E102" s="430">
        <v>1.8</v>
      </c>
      <c r="F102" s="430">
        <v>1.8</v>
      </c>
      <c r="G102" s="430">
        <v>27.89</v>
      </c>
      <c r="H102" s="430">
        <v>60.1</v>
      </c>
      <c r="I102" s="430">
        <v>27.23</v>
      </c>
      <c r="J102" s="430">
        <v>28.16</v>
      </c>
      <c r="K102" s="430">
        <v>26.85</v>
      </c>
      <c r="L102" s="430">
        <v>59.07</v>
      </c>
    </row>
    <row r="103" spans="1:12" x14ac:dyDescent="0.2">
      <c r="A103" s="432">
        <v>46132</v>
      </c>
      <c r="B103" s="2">
        <v>27.22</v>
      </c>
      <c r="C103" s="2">
        <v>1410248</v>
      </c>
      <c r="D103" s="2">
        <v>-0.33</v>
      </c>
      <c r="E103" s="2">
        <v>-1.2</v>
      </c>
      <c r="F103" s="2">
        <v>-1.2</v>
      </c>
      <c r="G103" s="2">
        <v>27.4</v>
      </c>
      <c r="H103" s="2">
        <v>57.27</v>
      </c>
      <c r="I103" s="2">
        <v>26.81</v>
      </c>
      <c r="J103" s="2">
        <v>27.41</v>
      </c>
      <c r="K103" s="2">
        <v>26.46</v>
      </c>
      <c r="L103" s="2">
        <v>56.26</v>
      </c>
    </row>
    <row r="104" spans="1:12" x14ac:dyDescent="0.2">
      <c r="A104" s="431">
        <v>46129</v>
      </c>
      <c r="B104" s="430">
        <v>27.55</v>
      </c>
      <c r="C104" s="430">
        <v>2213363</v>
      </c>
      <c r="D104" s="430">
        <v>1.03</v>
      </c>
      <c r="E104" s="430">
        <v>3.88</v>
      </c>
      <c r="F104" s="430">
        <v>3.88</v>
      </c>
      <c r="G104" s="430">
        <v>27.73</v>
      </c>
      <c r="H104" s="430">
        <v>59.18</v>
      </c>
      <c r="I104" s="430">
        <v>27.59</v>
      </c>
      <c r="J104" s="430">
        <v>28.59</v>
      </c>
      <c r="K104" s="430">
        <v>27.08</v>
      </c>
      <c r="L104" s="430">
        <v>58.15</v>
      </c>
    </row>
    <row r="105" spans="1:12" x14ac:dyDescent="0.2">
      <c r="A105" s="432">
        <v>46128</v>
      </c>
      <c r="B105" s="2">
        <v>26.52</v>
      </c>
      <c r="C105" s="2">
        <v>2288042</v>
      </c>
      <c r="D105" s="2">
        <v>1.01</v>
      </c>
      <c r="E105" s="2">
        <v>3.96</v>
      </c>
      <c r="F105" s="2">
        <v>3.96</v>
      </c>
      <c r="G105" s="2">
        <v>26.69</v>
      </c>
      <c r="H105" s="2">
        <v>53.22</v>
      </c>
      <c r="I105" s="2">
        <v>25.51</v>
      </c>
      <c r="J105" s="2">
        <v>26.57</v>
      </c>
      <c r="K105" s="2">
        <v>25.48</v>
      </c>
      <c r="L105" s="2">
        <v>52.24</v>
      </c>
    </row>
    <row r="106" spans="1:12" x14ac:dyDescent="0.2">
      <c r="A106" s="431">
        <v>46127</v>
      </c>
      <c r="B106" s="430">
        <v>25.51</v>
      </c>
      <c r="C106" s="430">
        <v>864233</v>
      </c>
      <c r="D106" s="430">
        <v>0.46</v>
      </c>
      <c r="E106" s="430">
        <v>1.84</v>
      </c>
      <c r="F106" s="430">
        <v>1.84</v>
      </c>
      <c r="G106" s="430">
        <v>25.68</v>
      </c>
      <c r="H106" s="430">
        <v>47.39</v>
      </c>
      <c r="I106" s="430">
        <v>25.18</v>
      </c>
      <c r="J106" s="430">
        <v>25.69</v>
      </c>
      <c r="K106" s="430">
        <v>25.03</v>
      </c>
      <c r="L106" s="430">
        <v>46.44</v>
      </c>
    </row>
    <row r="107" spans="1:12" x14ac:dyDescent="0.2">
      <c r="A107" s="432">
        <v>46126</v>
      </c>
      <c r="B107" s="2">
        <v>25.05</v>
      </c>
      <c r="C107" s="2">
        <v>809068</v>
      </c>
      <c r="D107" s="2">
        <v>0.12</v>
      </c>
      <c r="E107" s="2">
        <v>0.48</v>
      </c>
      <c r="F107" s="2">
        <v>0.48</v>
      </c>
      <c r="G107" s="2">
        <v>25.21</v>
      </c>
      <c r="H107" s="2">
        <v>44.73</v>
      </c>
      <c r="I107" s="2">
        <v>24.98</v>
      </c>
      <c r="J107" s="2">
        <v>25.32</v>
      </c>
      <c r="K107" s="2">
        <v>24.93</v>
      </c>
      <c r="L107" s="2">
        <v>43.8</v>
      </c>
    </row>
    <row r="108" spans="1:12" x14ac:dyDescent="0.2">
      <c r="A108" s="431">
        <v>46125</v>
      </c>
      <c r="B108" s="430">
        <v>24.93</v>
      </c>
      <c r="C108" s="430">
        <v>833705</v>
      </c>
      <c r="D108" s="430">
        <v>0.93</v>
      </c>
      <c r="E108" s="430">
        <v>3.88</v>
      </c>
      <c r="F108" s="430">
        <v>3.88</v>
      </c>
      <c r="G108" s="430">
        <v>25.09</v>
      </c>
      <c r="H108" s="430">
        <v>44.04</v>
      </c>
      <c r="I108" s="430">
        <v>24.06</v>
      </c>
      <c r="J108" s="430">
        <v>24.94</v>
      </c>
      <c r="K108" s="430">
        <v>24.06</v>
      </c>
      <c r="L108" s="430">
        <v>43.11</v>
      </c>
    </row>
    <row r="109" spans="1:12" x14ac:dyDescent="0.2">
      <c r="A109" s="432">
        <v>46122</v>
      </c>
      <c r="B109" s="2">
        <v>24</v>
      </c>
      <c r="C109" s="2">
        <v>839784</v>
      </c>
      <c r="D109" s="2">
        <v>-0.7</v>
      </c>
      <c r="E109" s="2">
        <v>-2.83</v>
      </c>
      <c r="F109" s="2">
        <v>-2.83</v>
      </c>
      <c r="G109" s="2">
        <v>24.16</v>
      </c>
      <c r="H109" s="2">
        <v>38.659999999999997</v>
      </c>
      <c r="I109" s="2">
        <v>24.76</v>
      </c>
      <c r="J109" s="2">
        <v>24.76</v>
      </c>
      <c r="K109" s="2">
        <v>23.65</v>
      </c>
      <c r="L109" s="2">
        <v>37.770000000000003</v>
      </c>
    </row>
    <row r="110" spans="1:12" x14ac:dyDescent="0.2">
      <c r="A110" s="431">
        <v>46121</v>
      </c>
      <c r="B110" s="430">
        <v>24.7</v>
      </c>
      <c r="C110" s="430">
        <v>867731</v>
      </c>
      <c r="D110" s="430">
        <v>-0.33</v>
      </c>
      <c r="E110" s="430">
        <v>-1.32</v>
      </c>
      <c r="F110" s="430">
        <v>-1.32</v>
      </c>
      <c r="G110" s="430">
        <v>24.86</v>
      </c>
      <c r="H110" s="430">
        <v>42.71</v>
      </c>
      <c r="I110" s="430">
        <v>24.75</v>
      </c>
      <c r="J110" s="430">
        <v>25.01</v>
      </c>
      <c r="K110" s="430">
        <v>23.99</v>
      </c>
      <c r="L110" s="430">
        <v>41.79</v>
      </c>
    </row>
    <row r="111" spans="1:12" x14ac:dyDescent="0.2">
      <c r="A111" s="432">
        <v>46120</v>
      </c>
      <c r="B111" s="2">
        <v>25.03</v>
      </c>
      <c r="C111" s="2">
        <v>1210296</v>
      </c>
      <c r="D111" s="2">
        <v>0.35</v>
      </c>
      <c r="E111" s="2">
        <v>1.42</v>
      </c>
      <c r="F111" s="2">
        <v>1.42</v>
      </c>
      <c r="G111" s="2">
        <v>25.19</v>
      </c>
      <c r="H111" s="2">
        <v>44.62</v>
      </c>
      <c r="I111" s="2">
        <v>25.21</v>
      </c>
      <c r="J111" s="2">
        <v>25.42</v>
      </c>
      <c r="K111" s="2">
        <v>24.84</v>
      </c>
      <c r="L111" s="2">
        <v>43.69</v>
      </c>
    </row>
    <row r="112" spans="1:12" x14ac:dyDescent="0.2">
      <c r="A112" s="431">
        <v>46119</v>
      </c>
      <c r="B112" s="430">
        <v>24.68</v>
      </c>
      <c r="C112" s="430">
        <v>894264</v>
      </c>
      <c r="D112" s="430">
        <v>0.7</v>
      </c>
      <c r="E112" s="430">
        <v>2.92</v>
      </c>
      <c r="F112" s="430">
        <v>2.92</v>
      </c>
      <c r="G112" s="430">
        <v>24.84</v>
      </c>
      <c r="H112" s="430">
        <v>42.59</v>
      </c>
      <c r="I112" s="430">
        <v>23.92</v>
      </c>
      <c r="J112" s="430">
        <v>24.68</v>
      </c>
      <c r="K112" s="430">
        <v>23.9</v>
      </c>
      <c r="L112" s="430">
        <v>41.68</v>
      </c>
    </row>
    <row r="113" spans="1:12" x14ac:dyDescent="0.2">
      <c r="A113" s="432">
        <v>46118</v>
      </c>
      <c r="B113" s="2">
        <v>23.98</v>
      </c>
      <c r="C113" s="2">
        <v>462056</v>
      </c>
      <c r="D113" s="2">
        <v>-0.01</v>
      </c>
      <c r="E113" s="2">
        <v>-0.04</v>
      </c>
      <c r="F113" s="2">
        <v>-0.04</v>
      </c>
      <c r="G113" s="2">
        <v>24.14</v>
      </c>
      <c r="H113" s="2">
        <v>38.549999999999997</v>
      </c>
      <c r="I113" s="2">
        <v>23.96</v>
      </c>
      <c r="J113" s="2">
        <v>24.18</v>
      </c>
      <c r="K113" s="2">
        <v>23.81</v>
      </c>
      <c r="L113" s="2">
        <v>37.659999999999997</v>
      </c>
    </row>
    <row r="114" spans="1:12" x14ac:dyDescent="0.2">
      <c r="A114" s="431">
        <v>46114</v>
      </c>
      <c r="B114" s="430">
        <v>23.99</v>
      </c>
      <c r="C114" s="430">
        <v>668404</v>
      </c>
      <c r="D114" s="430">
        <v>-0.09</v>
      </c>
      <c r="E114" s="430">
        <v>-0.37</v>
      </c>
      <c r="F114" s="430">
        <v>-0.37</v>
      </c>
      <c r="G114" s="430">
        <v>24.15</v>
      </c>
      <c r="H114" s="430">
        <v>38.61</v>
      </c>
      <c r="I114" s="430">
        <v>23.87</v>
      </c>
      <c r="J114" s="430">
        <v>24.08</v>
      </c>
      <c r="K114" s="430">
        <v>23.63</v>
      </c>
      <c r="L114" s="430">
        <v>37.72</v>
      </c>
    </row>
    <row r="115" spans="1:12" x14ac:dyDescent="0.2">
      <c r="A115" s="432">
        <v>46113</v>
      </c>
      <c r="B115" s="2">
        <v>24.08</v>
      </c>
      <c r="C115" s="2">
        <v>813997</v>
      </c>
      <c r="D115" s="2">
        <v>0.96</v>
      </c>
      <c r="E115" s="2">
        <v>4.1500000000000004</v>
      </c>
      <c r="F115" s="2">
        <v>4.1500000000000004</v>
      </c>
      <c r="G115" s="2">
        <v>24.24</v>
      </c>
      <c r="H115" s="2">
        <v>39.130000000000003</v>
      </c>
      <c r="I115" s="2">
        <v>23.45</v>
      </c>
      <c r="J115" s="2">
        <v>24.22</v>
      </c>
      <c r="K115" s="2">
        <v>23.34</v>
      </c>
      <c r="L115" s="2">
        <v>38.229999999999997</v>
      </c>
    </row>
    <row r="116" spans="1:12" x14ac:dyDescent="0.2">
      <c r="A116" s="431">
        <v>46112</v>
      </c>
      <c r="B116" s="430">
        <v>23.12</v>
      </c>
      <c r="C116" s="430">
        <v>732383</v>
      </c>
      <c r="D116" s="430">
        <v>0.76</v>
      </c>
      <c r="E116" s="430">
        <v>3.4</v>
      </c>
      <c r="F116" s="430">
        <v>3.4</v>
      </c>
      <c r="G116" s="430">
        <v>23.27</v>
      </c>
      <c r="H116" s="430">
        <v>33.58</v>
      </c>
      <c r="I116" s="430">
        <v>22.55</v>
      </c>
      <c r="J116" s="430">
        <v>23.14</v>
      </c>
      <c r="K116" s="430">
        <v>22.27</v>
      </c>
      <c r="L116" s="430">
        <v>32.72</v>
      </c>
    </row>
    <row r="117" spans="1:12" x14ac:dyDescent="0.2">
      <c r="A117" s="432">
        <v>46111</v>
      </c>
      <c r="B117" s="2">
        <v>22.36</v>
      </c>
      <c r="C117" s="2">
        <v>1751188</v>
      </c>
      <c r="D117" s="2">
        <v>0.02</v>
      </c>
      <c r="E117" s="2">
        <v>0.09</v>
      </c>
      <c r="F117" s="2">
        <v>0.09</v>
      </c>
      <c r="G117" s="2">
        <v>22.5</v>
      </c>
      <c r="H117" s="2">
        <v>29.19</v>
      </c>
      <c r="I117" s="2">
        <v>22.55</v>
      </c>
      <c r="J117" s="2">
        <v>22.69</v>
      </c>
      <c r="K117" s="2">
        <v>22.21</v>
      </c>
      <c r="L117" s="2">
        <v>28.36</v>
      </c>
    </row>
    <row r="118" spans="1:12" x14ac:dyDescent="0.2">
      <c r="A118" s="431">
        <v>46108</v>
      </c>
      <c r="B118" s="430">
        <v>22.34</v>
      </c>
      <c r="C118" s="430">
        <v>640448</v>
      </c>
      <c r="D118" s="430">
        <v>-0.84</v>
      </c>
      <c r="E118" s="430">
        <v>-3.62</v>
      </c>
      <c r="F118" s="430">
        <v>-3.62</v>
      </c>
      <c r="G118" s="430">
        <v>22.48</v>
      </c>
      <c r="H118" s="430">
        <v>29.07</v>
      </c>
      <c r="I118" s="430">
        <v>22.83</v>
      </c>
      <c r="J118" s="430">
        <v>23.05</v>
      </c>
      <c r="K118" s="430">
        <v>22.29</v>
      </c>
      <c r="L118" s="430">
        <v>28.24</v>
      </c>
    </row>
    <row r="119" spans="1:12" x14ac:dyDescent="0.2">
      <c r="A119" s="432">
        <v>46107</v>
      </c>
      <c r="B119" s="2">
        <v>23.18</v>
      </c>
      <c r="C119" s="2">
        <v>1050623</v>
      </c>
      <c r="D119" s="2">
        <v>-0.08</v>
      </c>
      <c r="E119" s="2">
        <v>-0.34</v>
      </c>
      <c r="F119" s="2">
        <v>-0.34</v>
      </c>
      <c r="G119" s="2">
        <v>23.33</v>
      </c>
      <c r="H119" s="2">
        <v>33.93</v>
      </c>
      <c r="I119" s="2">
        <v>23.06</v>
      </c>
      <c r="J119" s="2">
        <v>23.62</v>
      </c>
      <c r="K119" s="2">
        <v>22.98</v>
      </c>
      <c r="L119" s="2">
        <v>33.07</v>
      </c>
    </row>
    <row r="120" spans="1:12" x14ac:dyDescent="0.2">
      <c r="A120" s="431">
        <v>46106</v>
      </c>
      <c r="B120" s="430">
        <v>23.26</v>
      </c>
      <c r="C120" s="430">
        <v>1601947</v>
      </c>
      <c r="D120" s="430">
        <v>0.84</v>
      </c>
      <c r="E120" s="430">
        <v>3.75</v>
      </c>
      <c r="F120" s="430">
        <v>3.75</v>
      </c>
      <c r="G120" s="430">
        <v>23.41</v>
      </c>
      <c r="H120" s="430">
        <v>34.39</v>
      </c>
      <c r="I120" s="430">
        <v>23</v>
      </c>
      <c r="J120" s="430">
        <v>23.71</v>
      </c>
      <c r="K120" s="430">
        <v>22.9</v>
      </c>
      <c r="L120" s="430">
        <v>33.520000000000003</v>
      </c>
    </row>
    <row r="121" spans="1:12" x14ac:dyDescent="0.2">
      <c r="A121" s="432">
        <v>46105</v>
      </c>
      <c r="B121" s="2">
        <v>22.42</v>
      </c>
      <c r="C121" s="2">
        <v>1115281</v>
      </c>
      <c r="D121" s="2"/>
      <c r="E121" s="2"/>
      <c r="F121" s="2"/>
      <c r="G121" s="2">
        <v>22.57</v>
      </c>
      <c r="H121" s="2">
        <v>29.54</v>
      </c>
      <c r="I121" s="2">
        <v>22.34</v>
      </c>
      <c r="J121" s="2">
        <v>22.79</v>
      </c>
      <c r="K121" s="2">
        <v>22.03</v>
      </c>
      <c r="L121" s="2">
        <v>28.7</v>
      </c>
    </row>
    <row r="122" spans="1:12" x14ac:dyDescent="0.2">
      <c r="A122" s="431">
        <v>46104</v>
      </c>
      <c r="B122" s="430">
        <v>22.42</v>
      </c>
      <c r="C122" s="430">
        <v>949363</v>
      </c>
      <c r="D122" s="430">
        <v>0.96</v>
      </c>
      <c r="E122" s="430">
        <v>4.47</v>
      </c>
      <c r="F122" s="430">
        <v>4.47</v>
      </c>
      <c r="G122" s="430">
        <v>22.57</v>
      </c>
      <c r="H122" s="430">
        <v>29.54</v>
      </c>
      <c r="I122" s="430">
        <v>21.71</v>
      </c>
      <c r="J122" s="430">
        <v>22.66</v>
      </c>
      <c r="K122" s="430">
        <v>21.65</v>
      </c>
      <c r="L122" s="430">
        <v>28.7</v>
      </c>
    </row>
    <row r="123" spans="1:12" x14ac:dyDescent="0.2">
      <c r="A123" s="432">
        <v>46101</v>
      </c>
      <c r="B123" s="2">
        <v>21.46</v>
      </c>
      <c r="C123" s="2">
        <v>4588221</v>
      </c>
      <c r="D123" s="2">
        <v>-0.54</v>
      </c>
      <c r="E123" s="2">
        <v>-2.4500000000000002</v>
      </c>
      <c r="F123" s="2">
        <v>-2.4500000000000002</v>
      </c>
      <c r="G123" s="2">
        <v>21.6</v>
      </c>
      <c r="H123" s="2">
        <v>23.99</v>
      </c>
      <c r="I123" s="2">
        <v>21.96</v>
      </c>
      <c r="J123" s="2">
        <v>22.03</v>
      </c>
      <c r="K123" s="2">
        <v>21.35</v>
      </c>
      <c r="L123" s="2">
        <v>23.19</v>
      </c>
    </row>
    <row r="124" spans="1:12" x14ac:dyDescent="0.2">
      <c r="A124" s="431">
        <v>46100</v>
      </c>
      <c r="B124" s="430">
        <v>22</v>
      </c>
      <c r="C124" s="430">
        <v>1062130</v>
      </c>
      <c r="D124" s="430">
        <v>0.52</v>
      </c>
      <c r="E124" s="430">
        <v>2.42</v>
      </c>
      <c r="F124" s="430">
        <v>2.42</v>
      </c>
      <c r="G124" s="430">
        <v>22.14</v>
      </c>
      <c r="H124" s="430">
        <v>27.11</v>
      </c>
      <c r="I124" s="430">
        <v>21.3</v>
      </c>
      <c r="J124" s="430">
        <v>22.11</v>
      </c>
      <c r="K124" s="430">
        <v>21.22</v>
      </c>
      <c r="L124" s="430">
        <v>26.29</v>
      </c>
    </row>
    <row r="125" spans="1:12" x14ac:dyDescent="0.2">
      <c r="A125" s="432">
        <v>46099</v>
      </c>
      <c r="B125" s="2">
        <v>21.48</v>
      </c>
      <c r="C125" s="2">
        <v>904404</v>
      </c>
      <c r="D125" s="2">
        <v>0.21</v>
      </c>
      <c r="E125" s="2">
        <v>0.99</v>
      </c>
      <c r="F125" s="2">
        <v>0.99</v>
      </c>
      <c r="G125" s="2">
        <v>21.62</v>
      </c>
      <c r="H125" s="2">
        <v>24.1</v>
      </c>
      <c r="I125" s="2">
        <v>21.23</v>
      </c>
      <c r="J125" s="2">
        <v>21.69</v>
      </c>
      <c r="K125" s="2">
        <v>21.18</v>
      </c>
      <c r="L125" s="2">
        <v>23.31</v>
      </c>
    </row>
    <row r="126" spans="1:12" x14ac:dyDescent="0.2">
      <c r="A126" s="431">
        <v>46098</v>
      </c>
      <c r="B126" s="430">
        <v>21.27</v>
      </c>
      <c r="C126" s="430">
        <v>935672</v>
      </c>
      <c r="D126" s="430">
        <v>0.52</v>
      </c>
      <c r="E126" s="430">
        <v>2.5099999999999998</v>
      </c>
      <c r="F126" s="430">
        <v>2.5099999999999998</v>
      </c>
      <c r="G126" s="430">
        <v>21.41</v>
      </c>
      <c r="H126" s="430">
        <v>22.89</v>
      </c>
      <c r="I126" s="430">
        <v>20.76</v>
      </c>
      <c r="J126" s="430">
        <v>21.31</v>
      </c>
      <c r="K126" s="430">
        <v>20.76</v>
      </c>
      <c r="L126" s="430">
        <v>22.1</v>
      </c>
    </row>
    <row r="127" spans="1:12" x14ac:dyDescent="0.2">
      <c r="A127" s="432">
        <v>46097</v>
      </c>
      <c r="B127" s="2">
        <v>20.75</v>
      </c>
      <c r="C127" s="2">
        <v>3453933</v>
      </c>
      <c r="D127" s="2">
        <v>-0.22</v>
      </c>
      <c r="E127" s="2">
        <v>-1.05</v>
      </c>
      <c r="F127" s="2">
        <v>-1.05</v>
      </c>
      <c r="G127" s="2">
        <v>20.88</v>
      </c>
      <c r="H127" s="2">
        <v>19.89</v>
      </c>
      <c r="I127" s="2">
        <v>21.06</v>
      </c>
      <c r="J127" s="2">
        <v>21.13</v>
      </c>
      <c r="K127" s="2">
        <v>20.53</v>
      </c>
      <c r="L127" s="2">
        <v>19.12</v>
      </c>
    </row>
    <row r="128" spans="1:12" x14ac:dyDescent="0.2">
      <c r="A128" s="431">
        <v>46094</v>
      </c>
      <c r="B128" s="430">
        <v>20.97</v>
      </c>
      <c r="C128" s="430">
        <v>448061</v>
      </c>
      <c r="D128" s="430">
        <v>-0.09</v>
      </c>
      <c r="E128" s="430">
        <v>-0.43</v>
      </c>
      <c r="F128" s="430">
        <v>-0.43</v>
      </c>
      <c r="G128" s="430">
        <v>21.11</v>
      </c>
      <c r="H128" s="430">
        <v>21.16</v>
      </c>
      <c r="I128" s="430">
        <v>21.08</v>
      </c>
      <c r="J128" s="430">
        <v>21.39</v>
      </c>
      <c r="K128" s="430">
        <v>20.71</v>
      </c>
      <c r="L128" s="430">
        <v>20.38</v>
      </c>
    </row>
    <row r="129" spans="1:12" x14ac:dyDescent="0.2">
      <c r="A129" s="432">
        <v>46093</v>
      </c>
      <c r="B129" s="2">
        <v>21.06</v>
      </c>
      <c r="C129" s="2">
        <v>715066</v>
      </c>
      <c r="D129" s="2">
        <v>0.1</v>
      </c>
      <c r="E129" s="2">
        <v>0.48</v>
      </c>
      <c r="F129" s="2">
        <v>0.48</v>
      </c>
      <c r="G129" s="2">
        <v>21.2</v>
      </c>
      <c r="H129" s="2">
        <v>21.68</v>
      </c>
      <c r="I129" s="2">
        <v>20.77</v>
      </c>
      <c r="J129" s="2">
        <v>21.21</v>
      </c>
      <c r="K129" s="2">
        <v>20.66</v>
      </c>
      <c r="L129" s="2">
        <v>20.9</v>
      </c>
    </row>
    <row r="130" spans="1:12" x14ac:dyDescent="0.2">
      <c r="A130" s="431">
        <v>46092</v>
      </c>
      <c r="B130" s="430">
        <v>20.96</v>
      </c>
      <c r="C130" s="430">
        <v>532413</v>
      </c>
      <c r="D130" s="430">
        <v>0.35</v>
      </c>
      <c r="E130" s="430">
        <v>1.7</v>
      </c>
      <c r="F130" s="430">
        <v>1.7</v>
      </c>
      <c r="G130" s="430">
        <v>21.1</v>
      </c>
      <c r="H130" s="430">
        <v>21.1</v>
      </c>
      <c r="I130" s="430">
        <v>20.7</v>
      </c>
      <c r="J130" s="430">
        <v>20.99</v>
      </c>
      <c r="K130" s="430">
        <v>20.59</v>
      </c>
      <c r="L130" s="430">
        <v>20.32</v>
      </c>
    </row>
    <row r="131" spans="1:12" x14ac:dyDescent="0.2">
      <c r="A131" s="432">
        <v>46091</v>
      </c>
      <c r="B131" s="2">
        <v>20.61</v>
      </c>
      <c r="C131" s="2">
        <v>597358</v>
      </c>
      <c r="D131" s="2">
        <v>0.16</v>
      </c>
      <c r="E131" s="2">
        <v>0.78</v>
      </c>
      <c r="F131" s="2">
        <v>0.78</v>
      </c>
      <c r="G131" s="2">
        <v>20.74</v>
      </c>
      <c r="H131" s="2">
        <v>19.079999999999998</v>
      </c>
      <c r="I131" s="2">
        <v>20.45</v>
      </c>
      <c r="J131" s="2">
        <v>20.8</v>
      </c>
      <c r="K131" s="2">
        <v>20.100000000000001</v>
      </c>
      <c r="L131" s="2">
        <v>18.309999999999999</v>
      </c>
    </row>
    <row r="132" spans="1:12" x14ac:dyDescent="0.2">
      <c r="A132" s="431">
        <v>46090</v>
      </c>
      <c r="B132" s="430">
        <v>20.45</v>
      </c>
      <c r="C132" s="430">
        <v>608763</v>
      </c>
      <c r="D132" s="430">
        <v>-0.02</v>
      </c>
      <c r="E132" s="430">
        <v>-0.1</v>
      </c>
      <c r="F132" s="430">
        <v>-0.1</v>
      </c>
      <c r="G132" s="430">
        <v>20.58</v>
      </c>
      <c r="H132" s="430">
        <v>18.149999999999999</v>
      </c>
      <c r="I132" s="430">
        <v>20.27</v>
      </c>
      <c r="J132" s="430">
        <v>20.59</v>
      </c>
      <c r="K132" s="430">
        <v>19.989999999999998</v>
      </c>
      <c r="L132" s="430">
        <v>17.39</v>
      </c>
    </row>
    <row r="133" spans="1:12" x14ac:dyDescent="0.2">
      <c r="A133" s="432">
        <v>46087</v>
      </c>
      <c r="B133" s="2">
        <v>20.47</v>
      </c>
      <c r="C133" s="2">
        <v>555808</v>
      </c>
      <c r="D133" s="2">
        <v>-0.39</v>
      </c>
      <c r="E133" s="2">
        <v>-1.87</v>
      </c>
      <c r="F133" s="2">
        <v>-1.87</v>
      </c>
      <c r="G133" s="2">
        <v>20.6</v>
      </c>
      <c r="H133" s="2">
        <v>18.27</v>
      </c>
      <c r="I133" s="2">
        <v>20.7</v>
      </c>
      <c r="J133" s="2">
        <v>20.82</v>
      </c>
      <c r="K133" s="2">
        <v>20.2</v>
      </c>
      <c r="L133" s="2">
        <v>17.510000000000002</v>
      </c>
    </row>
    <row r="134" spans="1:12" x14ac:dyDescent="0.2">
      <c r="A134" s="431">
        <v>46086</v>
      </c>
      <c r="B134" s="430">
        <v>20.86</v>
      </c>
      <c r="C134" s="430">
        <v>546527</v>
      </c>
      <c r="D134" s="430">
        <v>0.18</v>
      </c>
      <c r="E134" s="430">
        <v>0.87</v>
      </c>
      <c r="F134" s="430">
        <v>0.87</v>
      </c>
      <c r="G134" s="430">
        <v>21</v>
      </c>
      <c r="H134" s="430">
        <v>20.52</v>
      </c>
      <c r="I134" s="430">
        <v>20.54</v>
      </c>
      <c r="J134" s="430">
        <v>20.97</v>
      </c>
      <c r="K134" s="430">
        <v>20.54</v>
      </c>
      <c r="L134" s="430">
        <v>19.75</v>
      </c>
    </row>
    <row r="135" spans="1:12" x14ac:dyDescent="0.2">
      <c r="A135" s="432">
        <v>46085</v>
      </c>
      <c r="B135" s="2">
        <v>20.68</v>
      </c>
      <c r="C135" s="2">
        <v>748515</v>
      </c>
      <c r="D135" s="2">
        <v>0.28000000000000003</v>
      </c>
      <c r="E135" s="2">
        <v>1.37</v>
      </c>
      <c r="F135" s="2">
        <v>1.37</v>
      </c>
      <c r="G135" s="2">
        <v>20.81</v>
      </c>
      <c r="H135" s="2">
        <v>19.48</v>
      </c>
      <c r="I135" s="2">
        <v>20.37</v>
      </c>
      <c r="J135" s="2">
        <v>20.72</v>
      </c>
      <c r="K135" s="2">
        <v>20.190000000000001</v>
      </c>
      <c r="L135" s="2">
        <v>18.71</v>
      </c>
    </row>
    <row r="136" spans="1:12" x14ac:dyDescent="0.2">
      <c r="A136" s="431">
        <v>46084</v>
      </c>
      <c r="B136" s="430">
        <v>20.399999999999999</v>
      </c>
      <c r="C136" s="430">
        <v>657389</v>
      </c>
      <c r="D136" s="430">
        <v>0.54</v>
      </c>
      <c r="E136" s="430">
        <v>2.72</v>
      </c>
      <c r="F136" s="430">
        <v>2.72</v>
      </c>
      <c r="G136" s="430">
        <v>20.53</v>
      </c>
      <c r="H136" s="430">
        <v>17.86</v>
      </c>
      <c r="I136" s="430">
        <v>19.38</v>
      </c>
      <c r="J136" s="430">
        <v>20.49</v>
      </c>
      <c r="K136" s="430">
        <v>19.11</v>
      </c>
      <c r="L136" s="430">
        <v>17.11</v>
      </c>
    </row>
    <row r="137" spans="1:12" x14ac:dyDescent="0.2">
      <c r="A137" s="432">
        <v>46083</v>
      </c>
      <c r="B137" s="2">
        <v>19.86</v>
      </c>
      <c r="C137" s="2">
        <v>866820</v>
      </c>
      <c r="D137" s="2">
        <v>0.6</v>
      </c>
      <c r="E137" s="2">
        <v>3.12</v>
      </c>
      <c r="F137" s="2">
        <v>3.12</v>
      </c>
      <c r="G137" s="2">
        <v>19.989999999999998</v>
      </c>
      <c r="H137" s="2">
        <v>14.74</v>
      </c>
      <c r="I137" s="2">
        <v>19.07</v>
      </c>
      <c r="J137" s="2">
        <v>20</v>
      </c>
      <c r="K137" s="2">
        <v>18.88</v>
      </c>
      <c r="L137" s="2">
        <v>14.01</v>
      </c>
    </row>
    <row r="138" spans="1:12" x14ac:dyDescent="0.2">
      <c r="A138" s="431">
        <v>46080</v>
      </c>
      <c r="B138" s="430">
        <v>19.260000000000002</v>
      </c>
      <c r="C138" s="430">
        <v>883332</v>
      </c>
      <c r="D138" s="430" t="s">
        <v>540</v>
      </c>
      <c r="E138" s="430" t="s">
        <v>540</v>
      </c>
      <c r="F138" s="430" t="s">
        <v>540</v>
      </c>
      <c r="G138" s="430">
        <v>19.38</v>
      </c>
      <c r="H138" s="430">
        <v>11.28</v>
      </c>
      <c r="I138" s="430">
        <v>19.05</v>
      </c>
      <c r="J138" s="430">
        <v>19.28</v>
      </c>
      <c r="K138" s="430">
        <v>18.86</v>
      </c>
      <c r="L138" s="430">
        <v>10.56</v>
      </c>
    </row>
    <row r="139" spans="1:12" x14ac:dyDescent="0.2">
      <c r="A139" s="432">
        <v>46079</v>
      </c>
      <c r="B139" s="2">
        <v>19.260000000000002</v>
      </c>
      <c r="C139" s="2">
        <v>559675</v>
      </c>
      <c r="D139" s="2">
        <v>-0.02</v>
      </c>
      <c r="E139" s="2">
        <v>-0.1</v>
      </c>
      <c r="F139" s="2">
        <v>-0.1</v>
      </c>
      <c r="G139" s="2">
        <v>19.38</v>
      </c>
      <c r="H139" s="2">
        <v>11.28</v>
      </c>
      <c r="I139" s="2">
        <v>19.47</v>
      </c>
      <c r="J139" s="2">
        <v>19.61</v>
      </c>
      <c r="K139" s="2">
        <v>19.059999999999999</v>
      </c>
      <c r="L139" s="2">
        <v>10.56</v>
      </c>
    </row>
    <row r="140" spans="1:12" x14ac:dyDescent="0.2">
      <c r="A140" s="431">
        <v>46078</v>
      </c>
      <c r="B140" s="430">
        <v>19.28</v>
      </c>
      <c r="C140" s="430">
        <v>660341</v>
      </c>
      <c r="D140" s="430">
        <v>0.28999999999999998</v>
      </c>
      <c r="E140" s="430">
        <v>1.53</v>
      </c>
      <c r="F140" s="430">
        <v>1.53</v>
      </c>
      <c r="G140" s="430">
        <v>19.399999999999999</v>
      </c>
      <c r="H140" s="430">
        <v>11.39</v>
      </c>
      <c r="I140" s="430">
        <v>19.02</v>
      </c>
      <c r="J140" s="430">
        <v>19.36</v>
      </c>
      <c r="K140" s="430">
        <v>18.75</v>
      </c>
      <c r="L140" s="430">
        <v>10.68</v>
      </c>
    </row>
    <row r="141" spans="1:12" x14ac:dyDescent="0.2">
      <c r="A141" s="432">
        <v>46077</v>
      </c>
      <c r="B141" s="2">
        <v>18.989999999999998</v>
      </c>
      <c r="C141" s="2">
        <v>714386</v>
      </c>
      <c r="D141" s="2">
        <v>0.05</v>
      </c>
      <c r="E141" s="2">
        <v>0.26</v>
      </c>
      <c r="F141" s="2">
        <v>0.26</v>
      </c>
      <c r="G141" s="2">
        <v>19.11</v>
      </c>
      <c r="H141" s="2">
        <v>9.7200000000000006</v>
      </c>
      <c r="I141" s="2">
        <v>19.02</v>
      </c>
      <c r="J141" s="2">
        <v>19.489999999999998</v>
      </c>
      <c r="K141" s="2">
        <v>18.899999999999999</v>
      </c>
      <c r="L141" s="2">
        <v>9.01</v>
      </c>
    </row>
    <row r="142" spans="1:12" x14ac:dyDescent="0.2">
      <c r="A142" s="431">
        <v>46076</v>
      </c>
      <c r="B142" s="430">
        <v>18.940000000000001</v>
      </c>
      <c r="C142" s="430">
        <v>822880</v>
      </c>
      <c r="D142" s="430">
        <v>-1.04</v>
      </c>
      <c r="E142" s="430">
        <v>-5.21</v>
      </c>
      <c r="F142" s="430">
        <v>-5.21</v>
      </c>
      <c r="G142" s="430">
        <v>19.059999999999999</v>
      </c>
      <c r="H142" s="430">
        <v>9.43</v>
      </c>
      <c r="I142" s="430">
        <v>19.920000000000002</v>
      </c>
      <c r="J142" s="430">
        <v>19.920000000000002</v>
      </c>
      <c r="K142" s="430">
        <v>18.72</v>
      </c>
      <c r="L142" s="430">
        <v>8.73</v>
      </c>
    </row>
    <row r="143" spans="1:12" x14ac:dyDescent="0.2">
      <c r="A143" s="432">
        <v>46073</v>
      </c>
      <c r="B143" s="2">
        <v>19.98</v>
      </c>
      <c r="C143" s="2">
        <v>1173065</v>
      </c>
      <c r="D143" s="2">
        <v>0.3</v>
      </c>
      <c r="E143" s="2">
        <v>1.52</v>
      </c>
      <c r="F143" s="2">
        <v>1.52</v>
      </c>
      <c r="G143" s="2">
        <v>20.11</v>
      </c>
      <c r="H143" s="2">
        <v>15.44</v>
      </c>
      <c r="I143" s="2">
        <v>19.78</v>
      </c>
      <c r="J143" s="2">
        <v>20.13</v>
      </c>
      <c r="K143" s="2">
        <v>19.71</v>
      </c>
      <c r="L143" s="2">
        <v>14.7</v>
      </c>
    </row>
    <row r="144" spans="1:12" x14ac:dyDescent="0.2">
      <c r="A144" s="431">
        <v>46072</v>
      </c>
      <c r="B144" s="430">
        <v>19.68</v>
      </c>
      <c r="C144" s="430">
        <v>548093</v>
      </c>
      <c r="D144" s="430">
        <v>-0.27</v>
      </c>
      <c r="E144" s="430">
        <v>-1.35</v>
      </c>
      <c r="F144" s="430">
        <v>-1.35</v>
      </c>
      <c r="G144" s="430">
        <v>19.809999999999999</v>
      </c>
      <c r="H144" s="430">
        <v>13.7</v>
      </c>
      <c r="I144" s="430">
        <v>19.84</v>
      </c>
      <c r="J144" s="430">
        <v>19.93</v>
      </c>
      <c r="K144" s="430">
        <v>19.579999999999998</v>
      </c>
      <c r="L144" s="430">
        <v>12.97</v>
      </c>
    </row>
    <row r="145" spans="1:12" x14ac:dyDescent="0.2">
      <c r="A145" s="432">
        <v>46071</v>
      </c>
      <c r="B145" s="2">
        <v>19.95</v>
      </c>
      <c r="C145" s="2">
        <v>922740</v>
      </c>
      <c r="D145" s="2">
        <v>-0.11</v>
      </c>
      <c r="E145" s="2">
        <v>-0.55000000000000004</v>
      </c>
      <c r="F145" s="2">
        <v>-0.55000000000000004</v>
      </c>
      <c r="G145" s="2">
        <v>20.079999999999998</v>
      </c>
      <c r="H145" s="2">
        <v>15.26</v>
      </c>
      <c r="I145" s="2">
        <v>20.059999999999999</v>
      </c>
      <c r="J145" s="2">
        <v>20.11</v>
      </c>
      <c r="K145" s="2">
        <v>19.670000000000002</v>
      </c>
      <c r="L145" s="2">
        <v>14.52</v>
      </c>
    </row>
    <row r="146" spans="1:12" x14ac:dyDescent="0.2">
      <c r="A146" s="431">
        <v>46070</v>
      </c>
      <c r="B146" s="430">
        <v>20.059999999999999</v>
      </c>
      <c r="C146" s="430">
        <v>816741</v>
      </c>
      <c r="D146" s="430">
        <v>-0.64</v>
      </c>
      <c r="E146" s="430">
        <v>-3.09</v>
      </c>
      <c r="F146" s="430">
        <v>-3.09</v>
      </c>
      <c r="G146" s="430">
        <v>20.190000000000001</v>
      </c>
      <c r="H146" s="430">
        <v>15.9</v>
      </c>
      <c r="I146" s="430">
        <v>20.48</v>
      </c>
      <c r="J146" s="430">
        <v>20.88</v>
      </c>
      <c r="K146" s="430">
        <v>20.03</v>
      </c>
      <c r="L146" s="430">
        <v>15.15</v>
      </c>
    </row>
    <row r="147" spans="1:12" x14ac:dyDescent="0.2">
      <c r="A147" s="432">
        <v>46066</v>
      </c>
      <c r="B147" s="2">
        <v>20.7</v>
      </c>
      <c r="C147" s="2">
        <v>1090062</v>
      </c>
      <c r="D147" s="2">
        <v>0.35</v>
      </c>
      <c r="E147" s="2">
        <v>1.72</v>
      </c>
      <c r="F147" s="2">
        <v>2.0099999999999998</v>
      </c>
      <c r="G147" s="2">
        <v>20.83</v>
      </c>
      <c r="H147" s="2">
        <v>19.600000000000001</v>
      </c>
      <c r="I147" s="2">
        <v>20.420000000000002</v>
      </c>
      <c r="J147" s="2">
        <v>20.74</v>
      </c>
      <c r="K147" s="2">
        <v>20.23</v>
      </c>
      <c r="L147" s="2">
        <v>18.829999999999998</v>
      </c>
    </row>
    <row r="148" spans="1:12" x14ac:dyDescent="0.2">
      <c r="A148" s="431">
        <v>46065</v>
      </c>
      <c r="B148" s="430">
        <v>20.350000000000001</v>
      </c>
      <c r="C148" s="430">
        <v>930768</v>
      </c>
      <c r="D148" s="430">
        <v>-0.57999999999999996</v>
      </c>
      <c r="E148" s="430">
        <v>-2.77</v>
      </c>
      <c r="F148" s="430">
        <v>-2.77</v>
      </c>
      <c r="G148" s="430">
        <v>20.420000000000002</v>
      </c>
      <c r="H148" s="430">
        <v>17.239999999999998</v>
      </c>
      <c r="I148" s="430">
        <v>21</v>
      </c>
      <c r="J148" s="430">
        <v>21.12</v>
      </c>
      <c r="K148" s="430">
        <v>20.170000000000002</v>
      </c>
      <c r="L148" s="430">
        <v>16.82</v>
      </c>
    </row>
    <row r="149" spans="1:12" x14ac:dyDescent="0.2">
      <c r="A149" s="432">
        <v>46064</v>
      </c>
      <c r="B149" s="2">
        <v>20.93</v>
      </c>
      <c r="C149" s="2">
        <v>1466215</v>
      </c>
      <c r="D149" s="2">
        <v>0.01</v>
      </c>
      <c r="E149" s="2">
        <v>0.05</v>
      </c>
      <c r="F149" s="2">
        <v>0.05</v>
      </c>
      <c r="G149" s="2">
        <v>21</v>
      </c>
      <c r="H149" s="2">
        <v>20.58</v>
      </c>
      <c r="I149" s="2">
        <v>20.94</v>
      </c>
      <c r="J149" s="2">
        <v>21.13</v>
      </c>
      <c r="K149" s="2">
        <v>20.49</v>
      </c>
      <c r="L149" s="2">
        <v>20.149999999999999</v>
      </c>
    </row>
    <row r="150" spans="1:12" x14ac:dyDescent="0.2">
      <c r="A150" s="431">
        <v>46063</v>
      </c>
      <c r="B150" s="430">
        <v>20.92</v>
      </c>
      <c r="C150" s="430">
        <v>1068426</v>
      </c>
      <c r="D150" s="430">
        <v>0.01</v>
      </c>
      <c r="E150" s="430">
        <v>0.05</v>
      </c>
      <c r="F150" s="430">
        <v>0.05</v>
      </c>
      <c r="G150" s="430">
        <v>20.99</v>
      </c>
      <c r="H150" s="430">
        <v>20.52</v>
      </c>
      <c r="I150" s="430">
        <v>21.23</v>
      </c>
      <c r="J150" s="430">
        <v>21.31</v>
      </c>
      <c r="K150" s="430">
        <v>20.78</v>
      </c>
      <c r="L150" s="430">
        <v>20.09</v>
      </c>
    </row>
    <row r="151" spans="1:12" x14ac:dyDescent="0.2">
      <c r="A151" s="432">
        <v>46062</v>
      </c>
      <c r="B151" s="2">
        <v>20.91</v>
      </c>
      <c r="C151" s="2">
        <v>1462641</v>
      </c>
      <c r="D151" s="2">
        <v>1.24</v>
      </c>
      <c r="E151" s="2">
        <v>6.3</v>
      </c>
      <c r="F151" s="2">
        <v>6.3</v>
      </c>
      <c r="G151" s="2">
        <v>20.98</v>
      </c>
      <c r="H151" s="2">
        <v>20.46</v>
      </c>
      <c r="I151" s="2">
        <v>19.670000000000002</v>
      </c>
      <c r="J151" s="2">
        <v>21.18</v>
      </c>
      <c r="K151" s="2">
        <v>19.57</v>
      </c>
      <c r="L151" s="2">
        <v>20.03</v>
      </c>
    </row>
    <row r="152" spans="1:12" x14ac:dyDescent="0.2">
      <c r="A152" s="431">
        <v>46059</v>
      </c>
      <c r="B152" s="430">
        <v>19.670000000000002</v>
      </c>
      <c r="C152" s="430">
        <v>1761677</v>
      </c>
      <c r="D152" s="430">
        <v>0.34</v>
      </c>
      <c r="E152" s="430">
        <v>1.76</v>
      </c>
      <c r="F152" s="430">
        <v>1.76</v>
      </c>
      <c r="G152" s="430">
        <v>19.739999999999998</v>
      </c>
      <c r="H152" s="430">
        <v>13.32</v>
      </c>
      <c r="I152" s="430">
        <v>19.46</v>
      </c>
      <c r="J152" s="430">
        <v>19.760000000000002</v>
      </c>
      <c r="K152" s="430">
        <v>19.3</v>
      </c>
      <c r="L152" s="430">
        <v>12.92</v>
      </c>
    </row>
    <row r="153" spans="1:12" x14ac:dyDescent="0.2">
      <c r="A153" s="432">
        <v>46058</v>
      </c>
      <c r="B153" s="2">
        <v>19.329999999999998</v>
      </c>
      <c r="C153" s="2">
        <v>1985010</v>
      </c>
      <c r="D153" s="2">
        <v>1.81</v>
      </c>
      <c r="E153" s="2">
        <v>10.33</v>
      </c>
      <c r="F153" s="2">
        <v>10.33</v>
      </c>
      <c r="G153" s="2">
        <v>19.399999999999999</v>
      </c>
      <c r="H153" s="2">
        <v>11.36</v>
      </c>
      <c r="I153" s="2">
        <v>17.72</v>
      </c>
      <c r="J153" s="2">
        <v>19.87</v>
      </c>
      <c r="K153" s="2">
        <v>17.72</v>
      </c>
      <c r="L153" s="2">
        <v>10.96</v>
      </c>
    </row>
    <row r="154" spans="1:12" x14ac:dyDescent="0.2">
      <c r="A154" s="431">
        <v>46057</v>
      </c>
      <c r="B154" s="430">
        <v>17.52</v>
      </c>
      <c r="C154" s="430">
        <v>774528</v>
      </c>
      <c r="D154" s="430">
        <v>0.25</v>
      </c>
      <c r="E154" s="430">
        <v>1.45</v>
      </c>
      <c r="F154" s="430">
        <v>1.45</v>
      </c>
      <c r="G154" s="430">
        <v>17.579999999999998</v>
      </c>
      <c r="H154" s="430">
        <v>0.93</v>
      </c>
      <c r="I154" s="430">
        <v>17.100000000000001</v>
      </c>
      <c r="J154" s="430">
        <v>17.670000000000002</v>
      </c>
      <c r="K154" s="430">
        <v>17.010000000000002</v>
      </c>
      <c r="L154" s="430">
        <v>0.56999999999999995</v>
      </c>
    </row>
    <row r="155" spans="1:12" x14ac:dyDescent="0.2">
      <c r="A155" s="432">
        <v>46056</v>
      </c>
      <c r="B155" s="2">
        <v>17.27</v>
      </c>
      <c r="C155" s="2">
        <v>811174</v>
      </c>
      <c r="D155" s="2">
        <v>-0.42</v>
      </c>
      <c r="E155" s="2">
        <v>-2.37</v>
      </c>
      <c r="F155" s="2">
        <v>-2.37</v>
      </c>
      <c r="G155" s="2">
        <v>17.329999999999998</v>
      </c>
      <c r="H155" s="2">
        <v>-0.51</v>
      </c>
      <c r="I155" s="2">
        <v>17.47</v>
      </c>
      <c r="J155" s="2">
        <v>17.55</v>
      </c>
      <c r="K155" s="2">
        <v>16.850000000000001</v>
      </c>
      <c r="L155" s="2">
        <v>-0.86</v>
      </c>
    </row>
    <row r="156" spans="1:12" x14ac:dyDescent="0.2">
      <c r="A156" s="431">
        <v>46055</v>
      </c>
      <c r="B156" s="430">
        <v>17.690000000000001</v>
      </c>
      <c r="C156" s="430">
        <v>776006</v>
      </c>
      <c r="D156" s="430">
        <v>0.25</v>
      </c>
      <c r="E156" s="430">
        <v>1.43</v>
      </c>
      <c r="F156" s="430">
        <v>1.43</v>
      </c>
      <c r="G156" s="430">
        <v>17.75</v>
      </c>
      <c r="H156" s="430">
        <v>1.91</v>
      </c>
      <c r="I156" s="430">
        <v>17.37</v>
      </c>
      <c r="J156" s="430">
        <v>17.84</v>
      </c>
      <c r="K156" s="430">
        <v>17.21</v>
      </c>
      <c r="L156" s="430">
        <v>1.55</v>
      </c>
    </row>
    <row r="157" spans="1:12" x14ac:dyDescent="0.2">
      <c r="A157" s="432">
        <v>46052</v>
      </c>
      <c r="B157" s="2">
        <v>17.440000000000001</v>
      </c>
      <c r="C157" s="2">
        <v>712374</v>
      </c>
      <c r="D157" s="2">
        <v>-0.27</v>
      </c>
      <c r="E157" s="2">
        <v>-1.52</v>
      </c>
      <c r="F157" s="2">
        <v>-1.52</v>
      </c>
      <c r="G157" s="2">
        <v>17.5</v>
      </c>
      <c r="H157" s="2">
        <v>0.47</v>
      </c>
      <c r="I157" s="2">
        <v>17.63</v>
      </c>
      <c r="J157" s="2">
        <v>17.77</v>
      </c>
      <c r="K157" s="2">
        <v>17.22</v>
      </c>
      <c r="L157" s="2">
        <v>0.11</v>
      </c>
    </row>
    <row r="158" spans="1:12" x14ac:dyDescent="0.2">
      <c r="A158" s="431">
        <v>46051</v>
      </c>
      <c r="B158" s="430">
        <v>17.71</v>
      </c>
      <c r="C158" s="430">
        <v>872581</v>
      </c>
      <c r="D158" s="430">
        <v>-0.73</v>
      </c>
      <c r="E158" s="430">
        <v>-3.96</v>
      </c>
      <c r="F158" s="430">
        <v>-3.96</v>
      </c>
      <c r="G158" s="430">
        <v>17.77</v>
      </c>
      <c r="H158" s="430">
        <v>2.0299999999999998</v>
      </c>
      <c r="I158" s="430">
        <v>18.3</v>
      </c>
      <c r="J158" s="430">
        <v>18.309999999999999</v>
      </c>
      <c r="K158" s="430">
        <v>17.329999999999998</v>
      </c>
      <c r="L158" s="430">
        <v>1.66</v>
      </c>
    </row>
    <row r="159" spans="1:12" x14ac:dyDescent="0.2">
      <c r="A159" s="432">
        <v>46050</v>
      </c>
      <c r="B159" s="2">
        <v>18.440000000000001</v>
      </c>
      <c r="C159" s="2">
        <v>989508</v>
      </c>
      <c r="D159" s="2">
        <v>0.3</v>
      </c>
      <c r="E159" s="2">
        <v>1.65</v>
      </c>
      <c r="F159" s="2">
        <v>1.65</v>
      </c>
      <c r="G159" s="2">
        <v>18.510000000000002</v>
      </c>
      <c r="H159" s="2">
        <v>6.23</v>
      </c>
      <c r="I159" s="2">
        <v>18.28</v>
      </c>
      <c r="J159" s="2">
        <v>18.52</v>
      </c>
      <c r="K159" s="2">
        <v>18.12</v>
      </c>
      <c r="L159" s="2">
        <v>5.86</v>
      </c>
    </row>
    <row r="160" spans="1:12" x14ac:dyDescent="0.2">
      <c r="A160" s="431">
        <v>46049</v>
      </c>
      <c r="B160" s="430">
        <v>18.14</v>
      </c>
      <c r="C160" s="430">
        <v>603003</v>
      </c>
      <c r="D160" s="430">
        <v>0.33</v>
      </c>
      <c r="E160" s="430">
        <v>1.85</v>
      </c>
      <c r="F160" s="430">
        <v>1.85</v>
      </c>
      <c r="G160" s="430">
        <v>18.2</v>
      </c>
      <c r="H160" s="430">
        <v>4.5</v>
      </c>
      <c r="I160" s="430">
        <v>17.96</v>
      </c>
      <c r="J160" s="430">
        <v>18.14</v>
      </c>
      <c r="K160" s="430">
        <v>17.8</v>
      </c>
      <c r="L160" s="430">
        <v>4.13</v>
      </c>
    </row>
    <row r="161" spans="1:12" x14ac:dyDescent="0.2">
      <c r="A161" s="432">
        <v>46048</v>
      </c>
      <c r="B161" s="2">
        <v>17.809999999999999</v>
      </c>
      <c r="C161" s="2">
        <v>629116</v>
      </c>
      <c r="D161" s="2">
        <v>0.43</v>
      </c>
      <c r="E161" s="2">
        <v>2.4700000000000002</v>
      </c>
      <c r="F161" s="2">
        <v>2.4700000000000002</v>
      </c>
      <c r="G161" s="2">
        <v>17.87</v>
      </c>
      <c r="H161" s="2">
        <v>2.6</v>
      </c>
      <c r="I161" s="2">
        <v>17.489999999999998</v>
      </c>
      <c r="J161" s="2">
        <v>17.809999999999999</v>
      </c>
      <c r="K161" s="2">
        <v>17.41</v>
      </c>
      <c r="L161" s="2">
        <v>2.2400000000000002</v>
      </c>
    </row>
    <row r="162" spans="1:12" x14ac:dyDescent="0.2">
      <c r="A162" s="431">
        <v>46045</v>
      </c>
      <c r="B162" s="430">
        <v>17.38</v>
      </c>
      <c r="C162" s="430">
        <v>629552</v>
      </c>
      <c r="D162" s="430">
        <v>-0.08</v>
      </c>
      <c r="E162" s="430">
        <v>-0.46</v>
      </c>
      <c r="F162" s="430">
        <v>-0.46</v>
      </c>
      <c r="G162" s="430">
        <v>17.440000000000001</v>
      </c>
      <c r="H162" s="430">
        <v>0.13</v>
      </c>
      <c r="I162" s="430">
        <v>17.47</v>
      </c>
      <c r="J162" s="430">
        <v>17.71</v>
      </c>
      <c r="K162" s="430">
        <v>17.28</v>
      </c>
      <c r="L162" s="430">
        <v>-0.23</v>
      </c>
    </row>
    <row r="163" spans="1:12" x14ac:dyDescent="0.2">
      <c r="A163" s="432">
        <v>46044</v>
      </c>
      <c r="B163" s="2">
        <v>17.46</v>
      </c>
      <c r="C163" s="2">
        <v>453914</v>
      </c>
      <c r="D163" s="2">
        <v>0.33</v>
      </c>
      <c r="E163" s="2">
        <v>1.93</v>
      </c>
      <c r="F163" s="2">
        <v>1.93</v>
      </c>
      <c r="G163" s="2">
        <v>17.52</v>
      </c>
      <c r="H163" s="2">
        <v>0.59</v>
      </c>
      <c r="I163" s="2">
        <v>17.25</v>
      </c>
      <c r="J163" s="2">
        <v>17.559999999999999</v>
      </c>
      <c r="K163" s="2">
        <v>17.23</v>
      </c>
      <c r="L163" s="2">
        <v>0.23</v>
      </c>
    </row>
    <row r="164" spans="1:12" x14ac:dyDescent="0.2">
      <c r="A164" s="431">
        <v>46043</v>
      </c>
      <c r="B164" s="430">
        <v>17.13</v>
      </c>
      <c r="C164" s="430">
        <v>469913</v>
      </c>
      <c r="D164" s="430">
        <v>0.18</v>
      </c>
      <c r="E164" s="430">
        <v>1.06</v>
      </c>
      <c r="F164" s="430">
        <v>1.06</v>
      </c>
      <c r="G164" s="430">
        <v>17.190000000000001</v>
      </c>
      <c r="H164" s="430">
        <v>-1.31</v>
      </c>
      <c r="I164" s="430">
        <v>17.03</v>
      </c>
      <c r="J164" s="430">
        <v>17.18</v>
      </c>
      <c r="K164" s="430">
        <v>16.829999999999998</v>
      </c>
      <c r="L164" s="430">
        <v>-1.66</v>
      </c>
    </row>
    <row r="165" spans="1:12" x14ac:dyDescent="0.2">
      <c r="A165" s="432">
        <v>46042</v>
      </c>
      <c r="B165" s="2">
        <v>16.95</v>
      </c>
      <c r="C165" s="2">
        <v>439105</v>
      </c>
      <c r="D165" s="2">
        <v>-0.36</v>
      </c>
      <c r="E165" s="2">
        <v>-2.08</v>
      </c>
      <c r="F165" s="2">
        <v>-2.08</v>
      </c>
      <c r="G165" s="2">
        <v>17.010000000000002</v>
      </c>
      <c r="H165" s="2">
        <v>-2.35</v>
      </c>
      <c r="I165" s="2">
        <v>17.04</v>
      </c>
      <c r="J165" s="2">
        <v>17.190000000000001</v>
      </c>
      <c r="K165" s="2">
        <v>16.8</v>
      </c>
      <c r="L165" s="2">
        <v>-2.7</v>
      </c>
    </row>
    <row r="166" spans="1:12" x14ac:dyDescent="0.2">
      <c r="A166" s="431">
        <v>46038</v>
      </c>
      <c r="B166" s="430">
        <v>17.309999999999999</v>
      </c>
      <c r="C166" s="430">
        <v>516325</v>
      </c>
      <c r="D166" s="430">
        <v>-0.27</v>
      </c>
      <c r="E166" s="430">
        <v>-1.54</v>
      </c>
      <c r="F166" s="430">
        <v>-1.54</v>
      </c>
      <c r="G166" s="430">
        <v>17.37</v>
      </c>
      <c r="H166" s="430">
        <v>-0.28000000000000003</v>
      </c>
      <c r="I166" s="430">
        <v>17.600000000000001</v>
      </c>
      <c r="J166" s="430">
        <v>17.64</v>
      </c>
      <c r="K166" s="430">
        <v>17.170000000000002</v>
      </c>
      <c r="L166" s="430">
        <v>-0.63</v>
      </c>
    </row>
    <row r="167" spans="1:12" x14ac:dyDescent="0.2">
      <c r="A167" s="432">
        <v>46037</v>
      </c>
      <c r="B167" s="2">
        <v>17.579999999999998</v>
      </c>
      <c r="C167" s="2">
        <v>741949</v>
      </c>
      <c r="D167" s="2">
        <v>0.18</v>
      </c>
      <c r="E167" s="2">
        <v>1.03</v>
      </c>
      <c r="F167" s="2">
        <v>1.03</v>
      </c>
      <c r="G167" s="2">
        <v>17.64</v>
      </c>
      <c r="H167" s="2">
        <v>1.28</v>
      </c>
      <c r="I167" s="2">
        <v>17.53</v>
      </c>
      <c r="J167" s="2">
        <v>17.61</v>
      </c>
      <c r="K167" s="2">
        <v>17.329999999999998</v>
      </c>
      <c r="L167" s="2">
        <v>0.92</v>
      </c>
    </row>
    <row r="168" spans="1:12" x14ac:dyDescent="0.2">
      <c r="A168" s="431">
        <v>46036</v>
      </c>
      <c r="B168" s="430">
        <v>17.399999999999999</v>
      </c>
      <c r="C168" s="430">
        <v>497587</v>
      </c>
      <c r="D168" s="430">
        <v>0.12</v>
      </c>
      <c r="E168" s="430">
        <v>0.69</v>
      </c>
      <c r="F168" s="430">
        <v>0.69</v>
      </c>
      <c r="G168" s="430">
        <v>17.46</v>
      </c>
      <c r="H168" s="430">
        <v>0.24</v>
      </c>
      <c r="I168" s="430">
        <v>17.239999999999998</v>
      </c>
      <c r="J168" s="430">
        <v>17.41</v>
      </c>
      <c r="K168" s="430">
        <v>17.11</v>
      </c>
      <c r="L168" s="430">
        <v>-0.11</v>
      </c>
    </row>
    <row r="169" spans="1:12" x14ac:dyDescent="0.2">
      <c r="A169" s="432">
        <v>46035</v>
      </c>
      <c r="B169" s="2">
        <v>17.28</v>
      </c>
      <c r="C169" s="2">
        <v>439421</v>
      </c>
      <c r="D169" s="2">
        <v>-0.12</v>
      </c>
      <c r="E169" s="2">
        <v>-0.69</v>
      </c>
      <c r="F169" s="2">
        <v>-0.69</v>
      </c>
      <c r="G169" s="2">
        <v>17.34</v>
      </c>
      <c r="H169" s="2">
        <v>-0.45</v>
      </c>
      <c r="I169" s="2">
        <v>17.46</v>
      </c>
      <c r="J169" s="2">
        <v>17.48</v>
      </c>
      <c r="K169" s="2">
        <v>17.11</v>
      </c>
      <c r="L169" s="2">
        <v>-0.8</v>
      </c>
    </row>
    <row r="170" spans="1:12" x14ac:dyDescent="0.2">
      <c r="A170" s="431">
        <v>46034</v>
      </c>
      <c r="B170" s="430">
        <v>17.399999999999999</v>
      </c>
      <c r="C170" s="430">
        <v>526494</v>
      </c>
      <c r="D170" s="430">
        <v>0.17</v>
      </c>
      <c r="E170" s="430">
        <v>0.99</v>
      </c>
      <c r="F170" s="430">
        <v>0.99</v>
      </c>
      <c r="G170" s="430">
        <v>17.46</v>
      </c>
      <c r="H170" s="430">
        <v>0.24</v>
      </c>
      <c r="I170" s="430">
        <v>17.239999999999998</v>
      </c>
      <c r="J170" s="430">
        <v>17.47</v>
      </c>
      <c r="K170" s="430">
        <v>17.149999999999999</v>
      </c>
      <c r="L170" s="430">
        <v>-0.11</v>
      </c>
    </row>
    <row r="171" spans="1:12" x14ac:dyDescent="0.2">
      <c r="A171" s="432">
        <v>46031</v>
      </c>
      <c r="B171" s="2">
        <v>17.23</v>
      </c>
      <c r="C171" s="2">
        <v>695056</v>
      </c>
      <c r="D171" s="2">
        <v>-0.09</v>
      </c>
      <c r="E171" s="2">
        <v>-0.52</v>
      </c>
      <c r="F171" s="2">
        <v>-0.52</v>
      </c>
      <c r="G171" s="2">
        <v>17.29</v>
      </c>
      <c r="H171" s="2">
        <v>-0.74</v>
      </c>
      <c r="I171" s="2">
        <v>17.3</v>
      </c>
      <c r="J171" s="2">
        <v>17.41</v>
      </c>
      <c r="K171" s="2">
        <v>17</v>
      </c>
      <c r="L171" s="2">
        <v>-1.0900000000000001</v>
      </c>
    </row>
    <row r="172" spans="1:12" x14ac:dyDescent="0.2">
      <c r="A172" s="431">
        <v>46030</v>
      </c>
      <c r="B172" s="430">
        <v>17.32</v>
      </c>
      <c r="C172" s="430">
        <v>574249</v>
      </c>
      <c r="D172" s="430">
        <v>-0.24</v>
      </c>
      <c r="E172" s="430">
        <v>-1.37</v>
      </c>
      <c r="F172" s="430">
        <v>-1.37</v>
      </c>
      <c r="G172" s="430">
        <v>17.38</v>
      </c>
      <c r="H172" s="430">
        <v>-0.22</v>
      </c>
      <c r="I172" s="430">
        <v>17.45</v>
      </c>
      <c r="J172" s="430">
        <v>17.55</v>
      </c>
      <c r="K172" s="430">
        <v>17.28</v>
      </c>
      <c r="L172" s="430">
        <v>-0.56999999999999995</v>
      </c>
    </row>
    <row r="173" spans="1:12" x14ac:dyDescent="0.2">
      <c r="A173" s="432">
        <v>46029</v>
      </c>
      <c r="B173" s="2">
        <v>17.559999999999999</v>
      </c>
      <c r="C173" s="2">
        <v>489158</v>
      </c>
      <c r="D173" s="2">
        <v>0.1</v>
      </c>
      <c r="E173" s="2">
        <v>0.56999999999999995</v>
      </c>
      <c r="F173" s="2">
        <v>0.56999999999999995</v>
      </c>
      <c r="G173" s="2">
        <v>17.62</v>
      </c>
      <c r="H173" s="2">
        <v>1.1599999999999999</v>
      </c>
      <c r="I173" s="2">
        <v>17.670000000000002</v>
      </c>
      <c r="J173" s="2">
        <v>17.75</v>
      </c>
      <c r="K173" s="2">
        <v>17.399999999999999</v>
      </c>
      <c r="L173" s="2">
        <v>0.8</v>
      </c>
    </row>
    <row r="174" spans="1:12" x14ac:dyDescent="0.2">
      <c r="A174" s="431">
        <v>46028</v>
      </c>
      <c r="B174" s="430">
        <v>17.46</v>
      </c>
      <c r="C174" s="430">
        <v>432911</v>
      </c>
      <c r="D174" s="430">
        <v>-0.12</v>
      </c>
      <c r="E174" s="430">
        <v>-0.68</v>
      </c>
      <c r="F174" s="430">
        <v>-0.68</v>
      </c>
      <c r="G174" s="430">
        <v>17.52</v>
      </c>
      <c r="H174" s="430">
        <v>0.59</v>
      </c>
      <c r="I174" s="430">
        <v>17.47</v>
      </c>
      <c r="J174" s="430">
        <v>17.57</v>
      </c>
      <c r="K174" s="430">
        <v>17.3</v>
      </c>
      <c r="L174" s="430">
        <v>0.23</v>
      </c>
    </row>
    <row r="175" spans="1:12" x14ac:dyDescent="0.2">
      <c r="A175" s="432">
        <v>46027</v>
      </c>
      <c r="B175" s="2">
        <v>17.579999999999998</v>
      </c>
      <c r="C175" s="2">
        <v>422686</v>
      </c>
      <c r="D175" s="2">
        <v>0.23</v>
      </c>
      <c r="E175" s="2">
        <v>1.33</v>
      </c>
      <c r="F175" s="2">
        <v>1.33</v>
      </c>
      <c r="G175" s="2">
        <v>17.64</v>
      </c>
      <c r="H175" s="2">
        <v>1.28</v>
      </c>
      <c r="I175" s="2">
        <v>17.350000000000001</v>
      </c>
      <c r="J175" s="2">
        <v>17.75</v>
      </c>
      <c r="K175" s="2">
        <v>17.309999999999999</v>
      </c>
      <c r="L175" s="2">
        <v>0.92</v>
      </c>
    </row>
    <row r="176" spans="1:12" x14ac:dyDescent="0.2">
      <c r="A176" s="431">
        <v>46024</v>
      </c>
      <c r="B176" s="430">
        <v>17.350000000000001</v>
      </c>
      <c r="C176" s="430">
        <v>453935</v>
      </c>
      <c r="D176" s="430">
        <v>-0.34</v>
      </c>
      <c r="E176" s="430">
        <v>-1.92</v>
      </c>
      <c r="F176" s="430">
        <v>-1.92</v>
      </c>
      <c r="G176" s="430">
        <v>17.41</v>
      </c>
      <c r="H176" s="430">
        <v>-0.05</v>
      </c>
      <c r="I176" s="430">
        <v>17.8</v>
      </c>
      <c r="J176" s="430">
        <v>17.98</v>
      </c>
      <c r="K176" s="430">
        <v>17.21</v>
      </c>
      <c r="L176" s="430">
        <v>-0.4</v>
      </c>
    </row>
    <row r="177" spans="1:12" x14ac:dyDescent="0.2">
      <c r="A177" s="432">
        <v>46022</v>
      </c>
      <c r="B177" s="2">
        <v>17.690000000000001</v>
      </c>
      <c r="C177" s="2">
        <v>316658</v>
      </c>
      <c r="D177" s="2">
        <v>-0.24</v>
      </c>
      <c r="E177" s="2">
        <v>-1.34</v>
      </c>
      <c r="F177" s="2">
        <v>-1.34</v>
      </c>
      <c r="G177" s="2">
        <v>17.75</v>
      </c>
      <c r="H177" s="2">
        <v>1.91</v>
      </c>
      <c r="I177" s="2">
        <v>17.93</v>
      </c>
      <c r="J177" s="2">
        <v>17.95</v>
      </c>
      <c r="K177" s="2">
        <v>17.600000000000001</v>
      </c>
      <c r="L177" s="2">
        <v>1.55</v>
      </c>
    </row>
    <row r="178" spans="1:12" x14ac:dyDescent="0.2">
      <c r="A178" s="431">
        <v>46021</v>
      </c>
      <c r="B178" s="430">
        <v>17.93</v>
      </c>
      <c r="C178" s="430">
        <v>369049</v>
      </c>
      <c r="D178" s="430">
        <v>-0.12</v>
      </c>
      <c r="E178" s="430">
        <v>-0.66</v>
      </c>
      <c r="F178" s="430">
        <v>-0.66</v>
      </c>
      <c r="G178" s="430">
        <v>17.989999999999998</v>
      </c>
      <c r="H178" s="430">
        <v>3.29</v>
      </c>
      <c r="I178" s="430">
        <v>18.010000000000002</v>
      </c>
      <c r="J178" s="430">
        <v>18.11</v>
      </c>
      <c r="K178" s="430">
        <v>17.93</v>
      </c>
      <c r="L178" s="430">
        <v>2.93</v>
      </c>
    </row>
    <row r="179" spans="1:12" x14ac:dyDescent="0.2">
      <c r="A179" s="432">
        <v>46020</v>
      </c>
      <c r="B179" s="2">
        <v>18.05</v>
      </c>
      <c r="C179" s="2">
        <v>327057</v>
      </c>
      <c r="D179" s="2">
        <v>-0.02</v>
      </c>
      <c r="E179" s="2">
        <v>-0.11</v>
      </c>
      <c r="F179" s="2">
        <v>-0.11</v>
      </c>
      <c r="G179" s="2">
        <v>18.11</v>
      </c>
      <c r="H179" s="2">
        <v>3.99</v>
      </c>
      <c r="I179" s="2">
        <v>18.04</v>
      </c>
      <c r="J179" s="2">
        <v>18.100000000000001</v>
      </c>
      <c r="K179" s="2">
        <v>17.899999999999999</v>
      </c>
      <c r="L179" s="2">
        <v>3.62</v>
      </c>
    </row>
    <row r="180" spans="1:12" x14ac:dyDescent="0.2">
      <c r="A180" s="431">
        <v>46017</v>
      </c>
      <c r="B180" s="430">
        <v>18.07</v>
      </c>
      <c r="C180" s="430">
        <v>302253</v>
      </c>
      <c r="D180" s="430">
        <v>7.0000000000000007E-2</v>
      </c>
      <c r="E180" s="430">
        <v>0.39</v>
      </c>
      <c r="F180" s="430">
        <v>0.39</v>
      </c>
      <c r="G180" s="430">
        <v>18.13</v>
      </c>
      <c r="H180" s="430">
        <v>4.0999999999999996</v>
      </c>
      <c r="I180" s="430">
        <v>18.03</v>
      </c>
      <c r="J180" s="430">
        <v>18.14</v>
      </c>
      <c r="K180" s="430">
        <v>17.989999999999998</v>
      </c>
      <c r="L180" s="430">
        <v>3.73</v>
      </c>
    </row>
    <row r="181" spans="1:12" x14ac:dyDescent="0.2">
      <c r="A181" s="432">
        <v>46015</v>
      </c>
      <c r="B181" s="2">
        <v>18</v>
      </c>
      <c r="C181" s="2">
        <v>172446</v>
      </c>
      <c r="D181" s="2"/>
      <c r="E181" s="2"/>
      <c r="F181" s="2"/>
      <c r="G181" s="2">
        <v>18.059999999999999</v>
      </c>
      <c r="H181" s="2">
        <v>3.7</v>
      </c>
      <c r="I181" s="2">
        <v>18.03</v>
      </c>
      <c r="J181" s="2">
        <v>18.059999999999999</v>
      </c>
      <c r="K181" s="2">
        <v>17.93</v>
      </c>
      <c r="L181" s="2">
        <v>3.33</v>
      </c>
    </row>
    <row r="182" spans="1:12" x14ac:dyDescent="0.2">
      <c r="A182" s="431">
        <v>46014</v>
      </c>
      <c r="B182" s="430">
        <v>18</v>
      </c>
      <c r="C182" s="430">
        <v>455785</v>
      </c>
      <c r="D182" s="430">
        <v>-0.13</v>
      </c>
      <c r="E182" s="430">
        <v>-0.72</v>
      </c>
      <c r="F182" s="430">
        <v>-0.72</v>
      </c>
      <c r="G182" s="430">
        <v>18.059999999999999</v>
      </c>
      <c r="H182" s="430">
        <v>3.7</v>
      </c>
      <c r="I182" s="430">
        <v>18.079999999999998</v>
      </c>
      <c r="J182" s="430">
        <v>18.14</v>
      </c>
      <c r="K182" s="430">
        <v>17.95</v>
      </c>
      <c r="L182" s="430">
        <v>3.33</v>
      </c>
    </row>
    <row r="183" spans="1:12" x14ac:dyDescent="0.2">
      <c r="A183" s="432">
        <v>46013</v>
      </c>
      <c r="B183" s="2">
        <v>18.13</v>
      </c>
      <c r="C183" s="2">
        <v>585254</v>
      </c>
      <c r="D183" s="2">
        <v>0.17</v>
      </c>
      <c r="E183" s="2">
        <v>0.95</v>
      </c>
      <c r="F183" s="2">
        <v>0.95</v>
      </c>
      <c r="G183" s="2">
        <v>18.190000000000001</v>
      </c>
      <c r="H183" s="2">
        <v>4.45</v>
      </c>
      <c r="I183" s="2">
        <v>18.100000000000001</v>
      </c>
      <c r="J183" s="2">
        <v>18.45</v>
      </c>
      <c r="K183" s="2">
        <v>17.96</v>
      </c>
      <c r="L183" s="2">
        <v>4.08</v>
      </c>
    </row>
    <row r="184" spans="1:12" x14ac:dyDescent="0.2">
      <c r="A184" s="431">
        <v>46010</v>
      </c>
      <c r="B184" s="430">
        <v>17.96</v>
      </c>
      <c r="C184" s="430">
        <v>3270524</v>
      </c>
      <c r="D184" s="430">
        <v>-0.34</v>
      </c>
      <c r="E184" s="430">
        <v>-1.86</v>
      </c>
      <c r="F184" s="430">
        <v>-1.86</v>
      </c>
      <c r="G184" s="430">
        <v>18.02</v>
      </c>
      <c r="H184" s="430">
        <v>3.47</v>
      </c>
      <c r="I184" s="430">
        <v>18.32</v>
      </c>
      <c r="J184" s="430">
        <v>18.39</v>
      </c>
      <c r="K184" s="430">
        <v>17.920000000000002</v>
      </c>
      <c r="L184" s="430">
        <v>3.1</v>
      </c>
    </row>
    <row r="185" spans="1:12" x14ac:dyDescent="0.2">
      <c r="A185" s="432">
        <v>46009</v>
      </c>
      <c r="B185" s="2">
        <v>18.3</v>
      </c>
      <c r="C185" s="2">
        <v>886507</v>
      </c>
      <c r="D185" s="2">
        <v>0.22</v>
      </c>
      <c r="E185" s="2">
        <v>1.22</v>
      </c>
      <c r="F185" s="2">
        <v>1.22</v>
      </c>
      <c r="G185" s="2">
        <v>18.37</v>
      </c>
      <c r="H185" s="2">
        <v>5.43</v>
      </c>
      <c r="I185" s="2">
        <v>18.16</v>
      </c>
      <c r="J185" s="2">
        <v>18.559999999999999</v>
      </c>
      <c r="K185" s="2">
        <v>18.149999999999999</v>
      </c>
      <c r="L185" s="2">
        <v>5.05</v>
      </c>
    </row>
    <row r="186" spans="1:12" x14ac:dyDescent="0.2">
      <c r="A186" s="431">
        <v>46008</v>
      </c>
      <c r="B186" s="430">
        <v>18.079999999999998</v>
      </c>
      <c r="C186" s="430">
        <v>828010</v>
      </c>
      <c r="D186" s="430">
        <v>0.05</v>
      </c>
      <c r="E186" s="430">
        <v>0.28000000000000003</v>
      </c>
      <c r="F186" s="430">
        <v>0.28000000000000003</v>
      </c>
      <c r="G186" s="430">
        <v>18.14</v>
      </c>
      <c r="H186" s="430">
        <v>4.16</v>
      </c>
      <c r="I186" s="430">
        <v>18.02</v>
      </c>
      <c r="J186" s="430">
        <v>18.25</v>
      </c>
      <c r="K186" s="430">
        <v>17.920000000000002</v>
      </c>
      <c r="L186" s="430">
        <v>3.79</v>
      </c>
    </row>
    <row r="187" spans="1:12" x14ac:dyDescent="0.2">
      <c r="A187" s="432">
        <v>46007</v>
      </c>
      <c r="B187" s="2">
        <v>18.03</v>
      </c>
      <c r="C187" s="2">
        <v>1229656</v>
      </c>
      <c r="D187" s="2">
        <v>0.23</v>
      </c>
      <c r="E187" s="2">
        <v>1.29</v>
      </c>
      <c r="F187" s="2">
        <v>1.29</v>
      </c>
      <c r="G187" s="2">
        <v>18.09</v>
      </c>
      <c r="H187" s="2">
        <v>3.87</v>
      </c>
      <c r="I187" s="2">
        <v>17.77</v>
      </c>
      <c r="J187" s="2">
        <v>18.100000000000001</v>
      </c>
      <c r="K187" s="2">
        <v>17.739999999999998</v>
      </c>
      <c r="L187" s="2">
        <v>3.5</v>
      </c>
    </row>
    <row r="188" spans="1:12" x14ac:dyDescent="0.2">
      <c r="A188" s="431">
        <v>46006</v>
      </c>
      <c r="B188" s="430">
        <v>17.8</v>
      </c>
      <c r="C188" s="430">
        <v>1261088</v>
      </c>
      <c r="D188" s="430">
        <v>-0.32</v>
      </c>
      <c r="E188" s="430">
        <v>-1.77</v>
      </c>
      <c r="F188" s="430">
        <v>-1.77</v>
      </c>
      <c r="G188" s="430">
        <v>17.86</v>
      </c>
      <c r="H188" s="430">
        <v>2.5499999999999998</v>
      </c>
      <c r="I188" s="430">
        <v>18.11</v>
      </c>
      <c r="J188" s="430">
        <v>18.11</v>
      </c>
      <c r="K188" s="430">
        <v>17.420000000000002</v>
      </c>
      <c r="L188" s="430">
        <v>2.1800000000000002</v>
      </c>
    </row>
    <row r="189" spans="1:12" x14ac:dyDescent="0.2">
      <c r="A189" s="432">
        <v>46003</v>
      </c>
      <c r="B189" s="2">
        <v>18.12</v>
      </c>
      <c r="C189" s="2">
        <v>1250212</v>
      </c>
      <c r="D189" s="2">
        <v>-0.25</v>
      </c>
      <c r="E189" s="2">
        <v>-1.36</v>
      </c>
      <c r="F189" s="2">
        <v>-1.36</v>
      </c>
      <c r="G189" s="2">
        <v>18.18</v>
      </c>
      <c r="H189" s="2">
        <v>4.3899999999999997</v>
      </c>
      <c r="I189" s="2">
        <v>18.350000000000001</v>
      </c>
      <c r="J189" s="2">
        <v>18.41</v>
      </c>
      <c r="K189" s="2">
        <v>18.11</v>
      </c>
      <c r="L189" s="2">
        <v>4.0199999999999996</v>
      </c>
    </row>
    <row r="190" spans="1:12" x14ac:dyDescent="0.2">
      <c r="A190" s="431">
        <v>46002</v>
      </c>
      <c r="B190" s="430">
        <v>18.37</v>
      </c>
      <c r="C190" s="430">
        <v>443606</v>
      </c>
      <c r="D190" s="430">
        <v>-0.12</v>
      </c>
      <c r="E190" s="430">
        <v>-0.65</v>
      </c>
      <c r="F190" s="430">
        <v>-0.65</v>
      </c>
      <c r="G190" s="430">
        <v>18.440000000000001</v>
      </c>
      <c r="H190" s="430">
        <v>5.83</v>
      </c>
      <c r="I190" s="430">
        <v>18.47</v>
      </c>
      <c r="J190" s="430">
        <v>18.54</v>
      </c>
      <c r="K190" s="430">
        <v>18.25</v>
      </c>
      <c r="L190" s="430">
        <v>5.45</v>
      </c>
    </row>
    <row r="191" spans="1:12" x14ac:dyDescent="0.2">
      <c r="A191" s="432">
        <v>46001</v>
      </c>
      <c r="B191" s="2">
        <v>18.489999999999998</v>
      </c>
      <c r="C191" s="2">
        <v>680132</v>
      </c>
      <c r="D191" s="2">
        <v>0.35</v>
      </c>
      <c r="E191" s="2">
        <v>1.93</v>
      </c>
      <c r="F191" s="2">
        <v>1.93</v>
      </c>
      <c r="G191" s="2">
        <v>18.559999999999999</v>
      </c>
      <c r="H191" s="2">
        <v>6.52</v>
      </c>
      <c r="I191" s="2">
        <v>18.13</v>
      </c>
      <c r="J191" s="2">
        <v>18.649999999999999</v>
      </c>
      <c r="K191" s="2">
        <v>18.13</v>
      </c>
      <c r="L191" s="2">
        <v>6.14</v>
      </c>
    </row>
    <row r="192" spans="1:12" x14ac:dyDescent="0.2">
      <c r="A192" s="431">
        <v>46000</v>
      </c>
      <c r="B192" s="430">
        <v>18.14</v>
      </c>
      <c r="C192" s="430">
        <v>607055</v>
      </c>
      <c r="D192" s="430">
        <v>0.36</v>
      </c>
      <c r="E192" s="430">
        <v>2.02</v>
      </c>
      <c r="F192" s="430">
        <v>2.02</v>
      </c>
      <c r="G192" s="430">
        <v>18.2</v>
      </c>
      <c r="H192" s="430">
        <v>4.5</v>
      </c>
      <c r="I192" s="430">
        <v>17.760000000000002</v>
      </c>
      <c r="J192" s="430">
        <v>18.2</v>
      </c>
      <c r="K192" s="430">
        <v>17.760000000000002</v>
      </c>
      <c r="L192" s="430">
        <v>4.13</v>
      </c>
    </row>
    <row r="193" spans="1:12" x14ac:dyDescent="0.2">
      <c r="A193" s="432">
        <v>45999</v>
      </c>
      <c r="B193" s="2">
        <v>17.78</v>
      </c>
      <c r="C193" s="2">
        <v>473094</v>
      </c>
      <c r="D193" s="2">
        <v>0.01</v>
      </c>
      <c r="E193" s="2">
        <v>0.06</v>
      </c>
      <c r="F193" s="2">
        <v>0.06</v>
      </c>
      <c r="G193" s="2">
        <v>17.84</v>
      </c>
      <c r="H193" s="2">
        <v>2.4300000000000002</v>
      </c>
      <c r="I193" s="2">
        <v>17.82</v>
      </c>
      <c r="J193" s="2">
        <v>18.05</v>
      </c>
      <c r="K193" s="2">
        <v>17.77</v>
      </c>
      <c r="L193" s="2">
        <v>2.0699999999999998</v>
      </c>
    </row>
    <row r="194" spans="1:12" x14ac:dyDescent="0.2">
      <c r="A194" s="431">
        <v>45996</v>
      </c>
      <c r="B194" s="430">
        <v>17.77</v>
      </c>
      <c r="C194" s="430">
        <v>398635</v>
      </c>
      <c r="D194" s="430">
        <v>0.18</v>
      </c>
      <c r="E194" s="430">
        <v>1.02</v>
      </c>
      <c r="F194" s="430">
        <v>1.02</v>
      </c>
      <c r="G194" s="430">
        <v>17.829999999999998</v>
      </c>
      <c r="H194" s="430">
        <v>2.37</v>
      </c>
      <c r="I194" s="430">
        <v>17.59</v>
      </c>
      <c r="J194" s="430">
        <v>17.850000000000001</v>
      </c>
      <c r="K194" s="430">
        <v>17.559999999999999</v>
      </c>
      <c r="L194" s="430">
        <v>2.0099999999999998</v>
      </c>
    </row>
    <row r="195" spans="1:12" x14ac:dyDescent="0.2">
      <c r="A195" s="432">
        <v>45995</v>
      </c>
      <c r="B195" s="2">
        <v>17.59</v>
      </c>
      <c r="C195" s="2">
        <v>466370</v>
      </c>
      <c r="D195" s="2">
        <v>-0.05</v>
      </c>
      <c r="E195" s="2">
        <v>-0.28000000000000003</v>
      </c>
      <c r="F195" s="2">
        <v>-0.28000000000000003</v>
      </c>
      <c r="G195" s="2">
        <v>17.649999999999999</v>
      </c>
      <c r="H195" s="2">
        <v>1.34</v>
      </c>
      <c r="I195" s="2">
        <v>17.53</v>
      </c>
      <c r="J195" s="2">
        <v>17.739999999999998</v>
      </c>
      <c r="K195" s="2">
        <v>17.489999999999998</v>
      </c>
      <c r="L195" s="2">
        <v>0.98</v>
      </c>
    </row>
    <row r="196" spans="1:12" x14ac:dyDescent="0.2">
      <c r="A196" s="431">
        <v>45994</v>
      </c>
      <c r="B196" s="430">
        <v>17.64</v>
      </c>
      <c r="C196" s="430">
        <v>440190</v>
      </c>
      <c r="D196" s="430">
        <v>0.3</v>
      </c>
      <c r="E196" s="430">
        <v>1.73</v>
      </c>
      <c r="F196" s="430">
        <v>1.73</v>
      </c>
      <c r="G196" s="430">
        <v>17.7</v>
      </c>
      <c r="H196" s="430">
        <v>1.62</v>
      </c>
      <c r="I196" s="430">
        <v>17.34</v>
      </c>
      <c r="J196" s="430">
        <v>17.75</v>
      </c>
      <c r="K196" s="430">
        <v>17.21</v>
      </c>
      <c r="L196" s="430">
        <v>1.26</v>
      </c>
    </row>
    <row r="197" spans="1:12" x14ac:dyDescent="0.2">
      <c r="A197" s="432">
        <v>45993</v>
      </c>
      <c r="B197" s="2">
        <v>17.34</v>
      </c>
      <c r="C197" s="2">
        <v>475106</v>
      </c>
      <c r="D197" s="2">
        <v>0.16</v>
      </c>
      <c r="E197" s="2">
        <v>0.93</v>
      </c>
      <c r="F197" s="2">
        <v>0.93</v>
      </c>
      <c r="G197" s="2">
        <v>17.399999999999999</v>
      </c>
      <c r="H197" s="2">
        <v>-0.1</v>
      </c>
      <c r="I197" s="2">
        <v>17.309999999999999</v>
      </c>
      <c r="J197" s="2">
        <v>17.48</v>
      </c>
      <c r="K197" s="2">
        <v>17.25</v>
      </c>
      <c r="L197" s="2">
        <v>-0.46</v>
      </c>
    </row>
    <row r="198" spans="1:12" x14ac:dyDescent="0.2">
      <c r="A198" s="431">
        <v>45992</v>
      </c>
      <c r="B198" s="430">
        <v>17.18</v>
      </c>
      <c r="C198" s="430">
        <v>553755</v>
      </c>
      <c r="D198" s="430">
        <v>-0.04</v>
      </c>
      <c r="E198" s="430">
        <v>-0.23</v>
      </c>
      <c r="F198" s="430">
        <v>-0.23</v>
      </c>
      <c r="G198" s="430">
        <v>17.239999999999998</v>
      </c>
      <c r="H198" s="430">
        <v>-1.03</v>
      </c>
      <c r="I198" s="430">
        <v>17.079999999999998</v>
      </c>
      <c r="J198" s="430">
        <v>17.25</v>
      </c>
      <c r="K198" s="430">
        <v>17.07</v>
      </c>
      <c r="L198" s="430">
        <v>-1.38</v>
      </c>
    </row>
    <row r="199" spans="1:12" x14ac:dyDescent="0.2">
      <c r="A199" s="432">
        <v>45989</v>
      </c>
      <c r="B199" s="2">
        <v>17.22</v>
      </c>
      <c r="C199" s="2">
        <v>308130</v>
      </c>
      <c r="D199" s="2">
        <v>0.24</v>
      </c>
      <c r="E199" s="2">
        <v>1.41</v>
      </c>
      <c r="F199" s="2">
        <v>1.41</v>
      </c>
      <c r="G199" s="2">
        <v>17.28</v>
      </c>
      <c r="H199" s="2">
        <v>-0.8</v>
      </c>
      <c r="I199" s="2">
        <v>17</v>
      </c>
      <c r="J199" s="2">
        <v>17.25</v>
      </c>
      <c r="K199" s="2">
        <v>16.97</v>
      </c>
      <c r="L199" s="2">
        <v>-1.1499999999999999</v>
      </c>
    </row>
    <row r="200" spans="1:12" x14ac:dyDescent="0.2">
      <c r="A200" s="431">
        <v>45987</v>
      </c>
      <c r="B200" s="430">
        <v>16.98</v>
      </c>
      <c r="C200" s="430">
        <v>709029</v>
      </c>
      <c r="D200" s="430">
        <v>-0.09</v>
      </c>
      <c r="E200" s="430">
        <v>-0.53</v>
      </c>
      <c r="F200" s="430">
        <v>-0.53</v>
      </c>
      <c r="G200" s="430">
        <v>17.04</v>
      </c>
      <c r="H200" s="430">
        <v>-2.1800000000000002</v>
      </c>
      <c r="I200" s="430">
        <v>17.010000000000002</v>
      </c>
      <c r="J200" s="430">
        <v>17.260000000000002</v>
      </c>
      <c r="K200" s="430">
        <v>16.97</v>
      </c>
      <c r="L200" s="430">
        <v>-2.5299999999999998</v>
      </c>
    </row>
    <row r="201" spans="1:12" x14ac:dyDescent="0.2">
      <c r="A201" s="432">
        <v>45986</v>
      </c>
      <c r="B201" s="2">
        <v>17.07</v>
      </c>
      <c r="C201" s="2">
        <v>876638</v>
      </c>
      <c r="D201" s="2">
        <v>0.23</v>
      </c>
      <c r="E201" s="2">
        <v>1.37</v>
      </c>
      <c r="F201" s="2">
        <v>1.37</v>
      </c>
      <c r="G201" s="2">
        <v>17.13</v>
      </c>
      <c r="H201" s="2">
        <v>-1.66</v>
      </c>
      <c r="I201" s="2">
        <v>16.829999999999998</v>
      </c>
      <c r="J201" s="2">
        <v>17.21</v>
      </c>
      <c r="K201" s="2">
        <v>16.77</v>
      </c>
      <c r="L201" s="2">
        <v>-2.0099999999999998</v>
      </c>
    </row>
    <row r="202" spans="1:12" x14ac:dyDescent="0.2">
      <c r="A202" s="431">
        <v>45985</v>
      </c>
      <c r="B202" s="430">
        <v>16.84</v>
      </c>
      <c r="C202" s="430">
        <v>530924</v>
      </c>
      <c r="D202" s="430" t="s">
        <v>540</v>
      </c>
      <c r="E202" s="430" t="s">
        <v>540</v>
      </c>
      <c r="F202" s="430" t="s">
        <v>540</v>
      </c>
      <c r="G202" s="430">
        <v>16.899999999999999</v>
      </c>
      <c r="H202" s="430">
        <v>-2.99</v>
      </c>
      <c r="I202" s="430">
        <v>16.86</v>
      </c>
      <c r="J202" s="430">
        <v>17.010000000000002</v>
      </c>
      <c r="K202" s="430">
        <v>16.63</v>
      </c>
      <c r="L202" s="430">
        <v>-3.33</v>
      </c>
    </row>
    <row r="203" spans="1:12" x14ac:dyDescent="0.2">
      <c r="A203" s="432">
        <v>45982</v>
      </c>
      <c r="B203" s="2">
        <v>16.84</v>
      </c>
      <c r="C203" s="2">
        <v>489520</v>
      </c>
      <c r="D203" s="2">
        <v>0.21</v>
      </c>
      <c r="E203" s="2">
        <v>1.26</v>
      </c>
      <c r="F203" s="2">
        <v>1.26</v>
      </c>
      <c r="G203" s="2">
        <v>16.899999999999999</v>
      </c>
      <c r="H203" s="2">
        <v>-2.99</v>
      </c>
      <c r="I203" s="2">
        <v>16.68</v>
      </c>
      <c r="J203" s="2">
        <v>16.96</v>
      </c>
      <c r="K203" s="2">
        <v>16.649999999999999</v>
      </c>
      <c r="L203" s="2">
        <v>-3.33</v>
      </c>
    </row>
    <row r="204" spans="1:12" x14ac:dyDescent="0.2">
      <c r="A204" s="431">
        <v>45981</v>
      </c>
      <c r="B204" s="430">
        <v>16.63</v>
      </c>
      <c r="C204" s="430">
        <v>517456</v>
      </c>
      <c r="D204" s="430">
        <v>0.08</v>
      </c>
      <c r="E204" s="430">
        <v>0.48</v>
      </c>
      <c r="F204" s="430">
        <v>0.48</v>
      </c>
      <c r="G204" s="430">
        <v>16.690000000000001</v>
      </c>
      <c r="H204" s="430">
        <v>-4.1900000000000004</v>
      </c>
      <c r="I204" s="430">
        <v>16.82</v>
      </c>
      <c r="J204" s="430">
        <v>16.899999999999999</v>
      </c>
      <c r="K204" s="430">
        <v>16.55</v>
      </c>
      <c r="L204" s="430">
        <v>-4.54</v>
      </c>
    </row>
    <row r="205" spans="1:12" x14ac:dyDescent="0.2">
      <c r="A205" s="432">
        <v>45980</v>
      </c>
      <c r="B205" s="2">
        <v>16.55</v>
      </c>
      <c r="C205" s="2">
        <v>726123</v>
      </c>
      <c r="D205" s="2">
        <v>-0.13</v>
      </c>
      <c r="E205" s="2">
        <v>-0.78</v>
      </c>
      <c r="F205" s="2">
        <v>-0.78</v>
      </c>
      <c r="G205" s="2">
        <v>16.61</v>
      </c>
      <c r="H205" s="2">
        <v>-4.66</v>
      </c>
      <c r="I205" s="2">
        <v>16.600000000000001</v>
      </c>
      <c r="J205" s="2">
        <v>16.79</v>
      </c>
      <c r="K205" s="2">
        <v>16.52</v>
      </c>
      <c r="L205" s="2">
        <v>-4.99</v>
      </c>
    </row>
    <row r="206" spans="1:12" x14ac:dyDescent="0.2">
      <c r="A206" s="431">
        <v>45979</v>
      </c>
      <c r="B206" s="430">
        <v>16.68</v>
      </c>
      <c r="C206" s="430">
        <v>617093</v>
      </c>
      <c r="D206" s="430">
        <v>-0.16</v>
      </c>
      <c r="E206" s="430">
        <v>-0.95</v>
      </c>
      <c r="F206" s="430">
        <v>-0.95</v>
      </c>
      <c r="G206" s="430">
        <v>16.739999999999998</v>
      </c>
      <c r="H206" s="430">
        <v>-3.91</v>
      </c>
      <c r="I206" s="430">
        <v>16.84</v>
      </c>
      <c r="J206" s="430">
        <v>17</v>
      </c>
      <c r="K206" s="430">
        <v>16.670000000000002</v>
      </c>
      <c r="L206" s="430">
        <v>-4.25</v>
      </c>
    </row>
    <row r="207" spans="1:12" x14ac:dyDescent="0.2">
      <c r="A207" s="432">
        <v>45978</v>
      </c>
      <c r="B207" s="2">
        <v>16.84</v>
      </c>
      <c r="C207" s="2">
        <v>665074</v>
      </c>
      <c r="D207" s="2">
        <v>-0.65</v>
      </c>
      <c r="E207" s="2">
        <v>-3.72</v>
      </c>
      <c r="F207" s="2">
        <v>-3.37</v>
      </c>
      <c r="G207" s="2">
        <v>16.899999999999999</v>
      </c>
      <c r="H207" s="2">
        <v>-2.99</v>
      </c>
      <c r="I207" s="2">
        <v>17.36</v>
      </c>
      <c r="J207" s="2">
        <v>17.489999999999998</v>
      </c>
      <c r="K207" s="2">
        <v>16.809999999999999</v>
      </c>
      <c r="L207" s="2">
        <v>-3.33</v>
      </c>
    </row>
    <row r="208" spans="1:12" x14ac:dyDescent="0.2">
      <c r="A208" s="431">
        <v>45975</v>
      </c>
      <c r="B208" s="430">
        <v>17.489999999999998</v>
      </c>
      <c r="C208" s="430">
        <v>2531897</v>
      </c>
      <c r="D208" s="430">
        <v>0.36</v>
      </c>
      <c r="E208" s="430">
        <v>2.1</v>
      </c>
      <c r="F208" s="430">
        <v>2.1</v>
      </c>
      <c r="G208" s="430">
        <v>17.489999999999998</v>
      </c>
      <c r="H208" s="430">
        <v>0.4</v>
      </c>
      <c r="I208" s="430">
        <v>16.89</v>
      </c>
      <c r="J208" s="430">
        <v>17.5</v>
      </c>
      <c r="K208" s="430">
        <v>16.760000000000002</v>
      </c>
      <c r="L208" s="430">
        <v>0.4</v>
      </c>
    </row>
    <row r="209" spans="1:12" x14ac:dyDescent="0.2">
      <c r="A209" s="432">
        <v>45974</v>
      </c>
      <c r="B209" s="2">
        <v>17.13</v>
      </c>
      <c r="C209" s="2">
        <v>744374</v>
      </c>
      <c r="D209" s="2">
        <v>0.04</v>
      </c>
      <c r="E209" s="2">
        <v>0.23</v>
      </c>
      <c r="F209" s="2">
        <v>0.23</v>
      </c>
      <c r="G209" s="2">
        <v>17.13</v>
      </c>
      <c r="H209" s="2">
        <v>-1.66</v>
      </c>
      <c r="I209" s="2">
        <v>17.03</v>
      </c>
      <c r="J209" s="2">
        <v>17.170000000000002</v>
      </c>
      <c r="K209" s="2">
        <v>16.89</v>
      </c>
      <c r="L209" s="2">
        <v>-1.66</v>
      </c>
    </row>
    <row r="210" spans="1:12" x14ac:dyDescent="0.2">
      <c r="A210" s="431">
        <v>45973</v>
      </c>
      <c r="B210" s="430">
        <v>17.09</v>
      </c>
      <c r="C210" s="430">
        <v>604502</v>
      </c>
      <c r="D210" s="430">
        <v>-0.11</v>
      </c>
      <c r="E210" s="430">
        <v>-0.64</v>
      </c>
      <c r="F210" s="430">
        <v>-0.64</v>
      </c>
      <c r="G210" s="430">
        <v>17.09</v>
      </c>
      <c r="H210" s="430">
        <v>-1.89</v>
      </c>
      <c r="I210" s="430">
        <v>17.3</v>
      </c>
      <c r="J210" s="430">
        <v>17.399999999999999</v>
      </c>
      <c r="K210" s="430">
        <v>16.98</v>
      </c>
      <c r="L210" s="430">
        <v>-1.89</v>
      </c>
    </row>
    <row r="211" spans="1:12" x14ac:dyDescent="0.2">
      <c r="A211" s="432">
        <v>45972</v>
      </c>
      <c r="B211" s="2">
        <v>17.2</v>
      </c>
      <c r="C211" s="2">
        <v>554149</v>
      </c>
      <c r="D211" s="2">
        <v>-0.01</v>
      </c>
      <c r="E211" s="2">
        <v>-0.06</v>
      </c>
      <c r="F211" s="2">
        <v>-0.06</v>
      </c>
      <c r="G211" s="2">
        <v>17.2</v>
      </c>
      <c r="H211" s="2">
        <v>-1.26</v>
      </c>
      <c r="I211" s="2">
        <v>17.18</v>
      </c>
      <c r="J211" s="2">
        <v>17.46</v>
      </c>
      <c r="K211" s="2">
        <v>17.100000000000001</v>
      </c>
      <c r="L211" s="2">
        <v>-1.26</v>
      </c>
    </row>
    <row r="212" spans="1:12" x14ac:dyDescent="0.2">
      <c r="A212" s="431">
        <v>45971</v>
      </c>
      <c r="B212" s="430">
        <v>17.21</v>
      </c>
      <c r="C212" s="430">
        <v>970827</v>
      </c>
      <c r="D212" s="430">
        <v>-0.02</v>
      </c>
      <c r="E212" s="430">
        <v>-0.12</v>
      </c>
      <c r="F212" s="430">
        <v>-0.12</v>
      </c>
      <c r="G212" s="430">
        <v>17.21</v>
      </c>
      <c r="H212" s="430">
        <v>-1.21</v>
      </c>
      <c r="I212" s="430">
        <v>17.46</v>
      </c>
      <c r="J212" s="430">
        <v>17.54</v>
      </c>
      <c r="K212" s="430">
        <v>16.86</v>
      </c>
      <c r="L212" s="430">
        <v>-1.21</v>
      </c>
    </row>
    <row r="213" spans="1:12" x14ac:dyDescent="0.2">
      <c r="A213" s="432">
        <v>45968</v>
      </c>
      <c r="B213" s="2">
        <v>17.23</v>
      </c>
      <c r="C213" s="2">
        <v>694785</v>
      </c>
      <c r="D213" s="2">
        <v>-0.56000000000000005</v>
      </c>
      <c r="E213" s="2">
        <v>-3.15</v>
      </c>
      <c r="F213" s="2">
        <v>-3.15</v>
      </c>
      <c r="G213" s="2">
        <v>17.23</v>
      </c>
      <c r="H213" s="2">
        <v>-1.0900000000000001</v>
      </c>
      <c r="I213" s="2">
        <v>17.59</v>
      </c>
      <c r="J213" s="2">
        <v>17.690000000000001</v>
      </c>
      <c r="K213" s="2">
        <v>17.170000000000002</v>
      </c>
      <c r="L213" s="2">
        <v>-1.0900000000000001</v>
      </c>
    </row>
    <row r="214" spans="1:12" x14ac:dyDescent="0.2">
      <c r="A214" s="431">
        <v>45967</v>
      </c>
      <c r="B214" s="430">
        <v>17.79</v>
      </c>
      <c r="C214" s="430">
        <v>928375</v>
      </c>
      <c r="D214" s="430">
        <v>-0.34</v>
      </c>
      <c r="E214" s="430">
        <v>-1.88</v>
      </c>
      <c r="F214" s="430">
        <v>-1.88</v>
      </c>
      <c r="G214" s="430">
        <v>17.79</v>
      </c>
      <c r="H214" s="430">
        <v>2.12</v>
      </c>
      <c r="I214" s="430">
        <v>17.93</v>
      </c>
      <c r="J214" s="430">
        <v>18.32</v>
      </c>
      <c r="K214" s="430">
        <v>17.73</v>
      </c>
      <c r="L214" s="430">
        <v>2.12</v>
      </c>
    </row>
    <row r="215" spans="1:12" x14ac:dyDescent="0.2">
      <c r="A215" s="432">
        <v>45966</v>
      </c>
      <c r="B215" s="2">
        <v>18.13</v>
      </c>
      <c r="C215" s="2">
        <v>954445</v>
      </c>
      <c r="D215" s="2">
        <v>0.61</v>
      </c>
      <c r="E215" s="2">
        <v>3.48</v>
      </c>
      <c r="F215" s="2">
        <v>3.48</v>
      </c>
      <c r="G215" s="2">
        <v>18.13</v>
      </c>
      <c r="H215" s="2">
        <v>4.08</v>
      </c>
      <c r="I215" s="2">
        <v>18.38</v>
      </c>
      <c r="J215" s="2">
        <v>18.8</v>
      </c>
      <c r="K215" s="2">
        <v>17.64</v>
      </c>
      <c r="L215" s="2">
        <v>4.08</v>
      </c>
    </row>
    <row r="216" spans="1:12" x14ac:dyDescent="0.2">
      <c r="A216" s="431">
        <v>45965</v>
      </c>
      <c r="B216" s="430">
        <v>17.52</v>
      </c>
      <c r="C216" s="430">
        <v>635324</v>
      </c>
      <c r="D216" s="430">
        <v>-0.45</v>
      </c>
      <c r="E216" s="430">
        <v>-2.5</v>
      </c>
      <c r="F216" s="430">
        <v>-2.5</v>
      </c>
      <c r="G216" s="430">
        <v>17.52</v>
      </c>
      <c r="H216" s="430">
        <v>0.56999999999999995</v>
      </c>
      <c r="I216" s="430">
        <v>17.760000000000002</v>
      </c>
      <c r="J216" s="430">
        <v>17.91</v>
      </c>
      <c r="K216" s="430">
        <v>17.510000000000002</v>
      </c>
      <c r="L216" s="430">
        <v>0.56999999999999995</v>
      </c>
    </row>
    <row r="217" spans="1:12" x14ac:dyDescent="0.2">
      <c r="A217" s="432">
        <v>45964</v>
      </c>
      <c r="B217" s="2">
        <v>17.97</v>
      </c>
      <c r="C217" s="2">
        <v>503265</v>
      </c>
      <c r="D217" s="2">
        <v>0.13</v>
      </c>
      <c r="E217" s="2">
        <v>0.73</v>
      </c>
      <c r="F217" s="2">
        <v>0.73</v>
      </c>
      <c r="G217" s="2">
        <v>17.97</v>
      </c>
      <c r="H217" s="2">
        <v>3.16</v>
      </c>
      <c r="I217" s="2">
        <v>17.88</v>
      </c>
      <c r="J217" s="2">
        <v>17.98</v>
      </c>
      <c r="K217" s="2">
        <v>17.600000000000001</v>
      </c>
      <c r="L217" s="2">
        <v>3.16</v>
      </c>
    </row>
    <row r="218" spans="1:12" x14ac:dyDescent="0.2">
      <c r="A218" s="431">
        <v>45961</v>
      </c>
      <c r="B218" s="430">
        <v>17.84</v>
      </c>
      <c r="C218" s="430">
        <v>558763</v>
      </c>
      <c r="D218" s="430">
        <v>0.17</v>
      </c>
      <c r="E218" s="430">
        <v>0.96</v>
      </c>
      <c r="F218" s="430">
        <v>0.96</v>
      </c>
      <c r="G218" s="430">
        <v>17.84</v>
      </c>
      <c r="H218" s="430">
        <v>2.41</v>
      </c>
      <c r="I218" s="430">
        <v>17.68</v>
      </c>
      <c r="J218" s="430">
        <v>17.89</v>
      </c>
      <c r="K218" s="430">
        <v>17.559999999999999</v>
      </c>
      <c r="L218" s="430">
        <v>2.41</v>
      </c>
    </row>
    <row r="219" spans="1:12" x14ac:dyDescent="0.2">
      <c r="A219" s="432">
        <v>45960</v>
      </c>
      <c r="B219" s="2">
        <v>17.670000000000002</v>
      </c>
      <c r="C219" s="2">
        <v>404838</v>
      </c>
      <c r="D219" s="2">
        <v>0.18</v>
      </c>
      <c r="E219" s="2">
        <v>1.03</v>
      </c>
      <c r="F219" s="2">
        <v>1.03</v>
      </c>
      <c r="G219" s="2">
        <v>17.670000000000002</v>
      </c>
      <c r="H219" s="2">
        <v>1.44</v>
      </c>
      <c r="I219" s="2">
        <v>17.420000000000002</v>
      </c>
      <c r="J219" s="2">
        <v>17.8</v>
      </c>
      <c r="K219" s="2">
        <v>17.39</v>
      </c>
      <c r="L219" s="2">
        <v>1.44</v>
      </c>
    </row>
    <row r="220" spans="1:12" x14ac:dyDescent="0.2">
      <c r="A220" s="431">
        <v>45959</v>
      </c>
      <c r="B220" s="430">
        <v>17.489999999999998</v>
      </c>
      <c r="C220" s="430">
        <v>526456</v>
      </c>
      <c r="D220" s="430">
        <v>-0.66</v>
      </c>
      <c r="E220" s="430">
        <v>-3.64</v>
      </c>
      <c r="F220" s="430">
        <v>-3.64</v>
      </c>
      <c r="G220" s="430">
        <v>17.489999999999998</v>
      </c>
      <c r="H220" s="430">
        <v>0.4</v>
      </c>
      <c r="I220" s="430">
        <v>18.100000000000001</v>
      </c>
      <c r="J220" s="430">
        <v>18.29</v>
      </c>
      <c r="K220" s="430">
        <v>17.309999999999999</v>
      </c>
      <c r="L220" s="430">
        <v>0.4</v>
      </c>
    </row>
    <row r="221" spans="1:12" x14ac:dyDescent="0.2">
      <c r="A221" s="432">
        <v>45958</v>
      </c>
      <c r="B221" s="2">
        <v>18.149999999999999</v>
      </c>
      <c r="C221" s="2">
        <v>520387</v>
      </c>
      <c r="D221" s="2">
        <v>0.37</v>
      </c>
      <c r="E221" s="2">
        <v>2.08</v>
      </c>
      <c r="F221" s="2">
        <v>2.08</v>
      </c>
      <c r="G221" s="2">
        <v>18.149999999999999</v>
      </c>
      <c r="H221" s="2">
        <v>4.1900000000000004</v>
      </c>
      <c r="I221" s="2">
        <v>17.77</v>
      </c>
      <c r="J221" s="2">
        <v>18.23</v>
      </c>
      <c r="K221" s="2">
        <v>17.760000000000002</v>
      </c>
      <c r="L221" s="2">
        <v>4.1900000000000004</v>
      </c>
    </row>
    <row r="222" spans="1:12" x14ac:dyDescent="0.2">
      <c r="A222" s="431">
        <v>45957</v>
      </c>
      <c r="B222" s="430">
        <v>17.78</v>
      </c>
      <c r="C222" s="430">
        <v>333984</v>
      </c>
      <c r="D222" s="430">
        <v>-0.26</v>
      </c>
      <c r="E222" s="430">
        <v>-1.44</v>
      </c>
      <c r="F222" s="430">
        <v>-1.44</v>
      </c>
      <c r="G222" s="430">
        <v>17.78</v>
      </c>
      <c r="H222" s="430">
        <v>2.0699999999999998</v>
      </c>
      <c r="I222" s="430">
        <v>18.2</v>
      </c>
      <c r="J222" s="430">
        <v>18.239999999999998</v>
      </c>
      <c r="K222" s="430">
        <v>17.75</v>
      </c>
      <c r="L222" s="430">
        <v>2.0699999999999998</v>
      </c>
    </row>
    <row r="223" spans="1:12" x14ac:dyDescent="0.2">
      <c r="A223" s="432">
        <v>45954</v>
      </c>
      <c r="B223" s="2">
        <v>18.04</v>
      </c>
      <c r="C223" s="2">
        <v>289274</v>
      </c>
      <c r="D223" s="2">
        <v>0.02</v>
      </c>
      <c r="E223" s="2">
        <v>0.11</v>
      </c>
      <c r="F223" s="2">
        <v>0.11</v>
      </c>
      <c r="G223" s="2">
        <v>18.04</v>
      </c>
      <c r="H223" s="2">
        <v>3.56</v>
      </c>
      <c r="I223" s="2">
        <v>18.22</v>
      </c>
      <c r="J223" s="2">
        <v>18.22</v>
      </c>
      <c r="K223" s="2">
        <v>17.93</v>
      </c>
      <c r="L223" s="2">
        <v>3.56</v>
      </c>
    </row>
    <row r="224" spans="1:12" x14ac:dyDescent="0.2">
      <c r="A224" s="431">
        <v>45953</v>
      </c>
      <c r="B224" s="430">
        <v>18.02</v>
      </c>
      <c r="C224" s="430">
        <v>303790</v>
      </c>
      <c r="D224" s="430">
        <v>0.26</v>
      </c>
      <c r="E224" s="430">
        <v>1.46</v>
      </c>
      <c r="F224" s="430">
        <v>1.46</v>
      </c>
      <c r="G224" s="430">
        <v>18.02</v>
      </c>
      <c r="H224" s="430">
        <v>3.44</v>
      </c>
      <c r="I224" s="430">
        <v>17.72</v>
      </c>
      <c r="J224" s="430">
        <v>18.07</v>
      </c>
      <c r="K224" s="430">
        <v>17.59</v>
      </c>
      <c r="L224" s="430">
        <v>3.44</v>
      </c>
    </row>
    <row r="225" spans="1:12" x14ac:dyDescent="0.2">
      <c r="A225" s="432">
        <v>45952</v>
      </c>
      <c r="B225" s="2">
        <v>17.760000000000002</v>
      </c>
      <c r="C225" s="2">
        <v>397483</v>
      </c>
      <c r="D225" s="2">
        <v>-0.3</v>
      </c>
      <c r="E225" s="2">
        <v>-1.66</v>
      </c>
      <c r="F225" s="2">
        <v>-1.66</v>
      </c>
      <c r="G225" s="2">
        <v>17.760000000000002</v>
      </c>
      <c r="H225" s="2">
        <v>1.95</v>
      </c>
      <c r="I225" s="2">
        <v>18.100000000000001</v>
      </c>
      <c r="J225" s="2">
        <v>18.149999999999999</v>
      </c>
      <c r="K225" s="2">
        <v>17.62</v>
      </c>
      <c r="L225" s="2">
        <v>1.95</v>
      </c>
    </row>
    <row r="226" spans="1:12" x14ac:dyDescent="0.2">
      <c r="A226" s="431">
        <v>45951</v>
      </c>
      <c r="B226" s="430">
        <v>18.059999999999999</v>
      </c>
      <c r="C226" s="430">
        <v>358229</v>
      </c>
      <c r="D226" s="430">
        <v>0.38</v>
      </c>
      <c r="E226" s="430">
        <v>2.15</v>
      </c>
      <c r="F226" s="430">
        <v>2.15</v>
      </c>
      <c r="G226" s="430">
        <v>18.059999999999999</v>
      </c>
      <c r="H226" s="430">
        <v>3.67</v>
      </c>
      <c r="I226" s="430">
        <v>17.68</v>
      </c>
      <c r="J226" s="430">
        <v>18.09</v>
      </c>
      <c r="K226" s="430">
        <v>17.649999999999999</v>
      </c>
      <c r="L226" s="430">
        <v>3.67</v>
      </c>
    </row>
    <row r="227" spans="1:12" x14ac:dyDescent="0.2">
      <c r="A227" s="432">
        <v>45950</v>
      </c>
      <c r="B227" s="2">
        <v>17.68</v>
      </c>
      <c r="C227" s="2">
        <v>417739</v>
      </c>
      <c r="D227" s="2">
        <v>0.22</v>
      </c>
      <c r="E227" s="2">
        <v>1.26</v>
      </c>
      <c r="F227" s="2">
        <v>1.26</v>
      </c>
      <c r="G227" s="2">
        <v>17.68</v>
      </c>
      <c r="H227" s="2">
        <v>1.49</v>
      </c>
      <c r="I227" s="2">
        <v>17.66</v>
      </c>
      <c r="J227" s="2">
        <v>17.760000000000002</v>
      </c>
      <c r="K227" s="2">
        <v>17.440000000000001</v>
      </c>
      <c r="L227" s="2">
        <v>1.49</v>
      </c>
    </row>
    <row r="228" spans="1:12" x14ac:dyDescent="0.2">
      <c r="A228" s="431">
        <v>45947</v>
      </c>
      <c r="B228" s="430">
        <v>17.46</v>
      </c>
      <c r="C228" s="430">
        <v>351782</v>
      </c>
      <c r="D228" s="430">
        <v>0.21</v>
      </c>
      <c r="E228" s="430">
        <v>1.22</v>
      </c>
      <c r="F228" s="430">
        <v>1.22</v>
      </c>
      <c r="G228" s="430">
        <v>17.46</v>
      </c>
      <c r="H228" s="430">
        <v>0.23</v>
      </c>
      <c r="I228" s="430">
        <v>17.149999999999999</v>
      </c>
      <c r="J228" s="430">
        <v>17.48</v>
      </c>
      <c r="K228" s="430">
        <v>17.100000000000001</v>
      </c>
      <c r="L228" s="430">
        <v>0.23</v>
      </c>
    </row>
    <row r="229" spans="1:12" x14ac:dyDescent="0.2">
      <c r="A229" s="432">
        <v>45946</v>
      </c>
      <c r="B229" s="2">
        <v>17.25</v>
      </c>
      <c r="C229" s="2">
        <v>554818</v>
      </c>
      <c r="D229" s="2">
        <v>-0.26</v>
      </c>
      <c r="E229" s="2">
        <v>-1.48</v>
      </c>
      <c r="F229" s="2">
        <v>-1.48</v>
      </c>
      <c r="G229" s="2">
        <v>17.25</v>
      </c>
      <c r="H229" s="2">
        <v>-0.98</v>
      </c>
      <c r="I229" s="2">
        <v>17.600000000000001</v>
      </c>
      <c r="J229" s="2">
        <v>17.63</v>
      </c>
      <c r="K229" s="2">
        <v>17.11</v>
      </c>
      <c r="L229" s="2">
        <v>-0.98</v>
      </c>
    </row>
    <row r="230" spans="1:12" x14ac:dyDescent="0.2">
      <c r="A230" s="431">
        <v>45945</v>
      </c>
      <c r="B230" s="430">
        <v>17.510000000000002</v>
      </c>
      <c r="C230" s="430">
        <v>400646</v>
      </c>
      <c r="D230" s="430">
        <v>-0.23</v>
      </c>
      <c r="E230" s="430">
        <v>-1.3</v>
      </c>
      <c r="F230" s="430">
        <v>-1.3</v>
      </c>
      <c r="G230" s="430">
        <v>17.510000000000002</v>
      </c>
      <c r="H230" s="430">
        <v>0.52</v>
      </c>
      <c r="I230" s="430">
        <v>17.91</v>
      </c>
      <c r="J230" s="430">
        <v>17.940000000000001</v>
      </c>
      <c r="K230" s="430">
        <v>17.34</v>
      </c>
      <c r="L230" s="430">
        <v>0.52</v>
      </c>
    </row>
    <row r="231" spans="1:12" x14ac:dyDescent="0.2">
      <c r="A231" s="432">
        <v>45944</v>
      </c>
      <c r="B231" s="2">
        <v>17.739999999999998</v>
      </c>
      <c r="C231" s="2">
        <v>415788</v>
      </c>
      <c r="D231" s="2">
        <v>-0.12</v>
      </c>
      <c r="E231" s="2">
        <v>-0.67</v>
      </c>
      <c r="F231" s="2">
        <v>-0.67</v>
      </c>
      <c r="G231" s="2">
        <v>17.739999999999998</v>
      </c>
      <c r="H231" s="2">
        <v>1.84</v>
      </c>
      <c r="I231" s="2">
        <v>17.63</v>
      </c>
      <c r="J231" s="2">
        <v>17.82</v>
      </c>
      <c r="K231" s="2">
        <v>17.579999999999998</v>
      </c>
      <c r="L231" s="2">
        <v>1.84</v>
      </c>
    </row>
    <row r="232" spans="1:12" x14ac:dyDescent="0.2">
      <c r="A232" s="431">
        <v>45943</v>
      </c>
      <c r="B232" s="430">
        <v>17.86</v>
      </c>
      <c r="C232" s="430">
        <v>346940</v>
      </c>
      <c r="D232" s="430">
        <v>0.13</v>
      </c>
      <c r="E232" s="430">
        <v>0.73</v>
      </c>
      <c r="F232" s="430">
        <v>0.73</v>
      </c>
      <c r="G232" s="430">
        <v>17.86</v>
      </c>
      <c r="H232" s="430">
        <v>2.5299999999999998</v>
      </c>
      <c r="I232" s="430">
        <v>17.96</v>
      </c>
      <c r="J232" s="430">
        <v>18.170000000000002</v>
      </c>
      <c r="K232" s="430">
        <v>17.78</v>
      </c>
      <c r="L232" s="430">
        <v>2.5299999999999998</v>
      </c>
    </row>
    <row r="233" spans="1:12" x14ac:dyDescent="0.2">
      <c r="A233" s="432">
        <v>45940</v>
      </c>
      <c r="B233" s="2">
        <v>17.73</v>
      </c>
      <c r="C233" s="2">
        <v>476926</v>
      </c>
      <c r="D233" s="2">
        <v>-0.66</v>
      </c>
      <c r="E233" s="2">
        <v>-3.59</v>
      </c>
      <c r="F233" s="2">
        <v>-3.59</v>
      </c>
      <c r="G233" s="2">
        <v>17.73</v>
      </c>
      <c r="H233" s="2">
        <v>1.78</v>
      </c>
      <c r="I233" s="2">
        <v>18.39</v>
      </c>
      <c r="J233" s="2">
        <v>18.54</v>
      </c>
      <c r="K233" s="2">
        <v>17.66</v>
      </c>
      <c r="L233" s="2">
        <v>1.78</v>
      </c>
    </row>
    <row r="234" spans="1:12" x14ac:dyDescent="0.2">
      <c r="A234" s="431">
        <v>45939</v>
      </c>
      <c r="B234" s="430">
        <v>18.39</v>
      </c>
      <c r="C234" s="430">
        <v>311607</v>
      </c>
      <c r="D234" s="430">
        <v>-0.06</v>
      </c>
      <c r="E234" s="430">
        <v>-0.33</v>
      </c>
      <c r="F234" s="430">
        <v>-0.33</v>
      </c>
      <c r="G234" s="430">
        <v>18.39</v>
      </c>
      <c r="H234" s="430">
        <v>5.57</v>
      </c>
      <c r="I234" s="430">
        <v>18.47</v>
      </c>
      <c r="J234" s="430">
        <v>18.47</v>
      </c>
      <c r="K234" s="430">
        <v>18.11</v>
      </c>
      <c r="L234" s="430">
        <v>5.57</v>
      </c>
    </row>
    <row r="235" spans="1:12" x14ac:dyDescent="0.2">
      <c r="A235" s="432">
        <v>45938</v>
      </c>
      <c r="B235" s="2">
        <v>18.45</v>
      </c>
      <c r="C235" s="2">
        <v>406605</v>
      </c>
      <c r="D235" s="2">
        <v>0.33</v>
      </c>
      <c r="E235" s="2">
        <v>1.82</v>
      </c>
      <c r="F235" s="2">
        <v>1.82</v>
      </c>
      <c r="G235" s="2">
        <v>18.45</v>
      </c>
      <c r="H235" s="2">
        <v>5.91</v>
      </c>
      <c r="I235" s="2">
        <v>18.260000000000002</v>
      </c>
      <c r="J235" s="2">
        <v>18.57</v>
      </c>
      <c r="K235" s="2">
        <v>18.16</v>
      </c>
      <c r="L235" s="2">
        <v>5.91</v>
      </c>
    </row>
    <row r="236" spans="1:12" x14ac:dyDescent="0.2">
      <c r="A236" s="431">
        <v>45937</v>
      </c>
      <c r="B236" s="430">
        <v>18.12</v>
      </c>
      <c r="C236" s="430">
        <v>461513</v>
      </c>
      <c r="D236" s="430">
        <v>-0.55000000000000004</v>
      </c>
      <c r="E236" s="430">
        <v>-2.95</v>
      </c>
      <c r="F236" s="430">
        <v>-2.95</v>
      </c>
      <c r="G236" s="430">
        <v>18.12</v>
      </c>
      <c r="H236" s="430">
        <v>4.0199999999999996</v>
      </c>
      <c r="I236" s="430">
        <v>18.7</v>
      </c>
      <c r="J236" s="430">
        <v>18.75</v>
      </c>
      <c r="K236" s="430">
        <v>18.09</v>
      </c>
      <c r="L236" s="430">
        <v>4.0199999999999996</v>
      </c>
    </row>
    <row r="237" spans="1:12" x14ac:dyDescent="0.2">
      <c r="A237" s="432">
        <v>45936</v>
      </c>
      <c r="B237" s="2">
        <v>18.670000000000002</v>
      </c>
      <c r="C237" s="2">
        <v>506051</v>
      </c>
      <c r="D237" s="2">
        <v>0.36</v>
      </c>
      <c r="E237" s="2">
        <v>1.97</v>
      </c>
      <c r="F237" s="2">
        <v>1.97</v>
      </c>
      <c r="G237" s="2">
        <v>18.670000000000002</v>
      </c>
      <c r="H237" s="2">
        <v>7.18</v>
      </c>
      <c r="I237" s="2">
        <v>18.45</v>
      </c>
      <c r="J237" s="2">
        <v>18.73</v>
      </c>
      <c r="K237" s="2">
        <v>18.38</v>
      </c>
      <c r="L237" s="2">
        <v>7.18</v>
      </c>
    </row>
    <row r="238" spans="1:12" x14ac:dyDescent="0.2">
      <c r="A238" s="431">
        <v>45933</v>
      </c>
      <c r="B238" s="430">
        <v>18.309999999999999</v>
      </c>
      <c r="C238" s="430">
        <v>493681</v>
      </c>
      <c r="D238" s="430">
        <v>-0.18</v>
      </c>
      <c r="E238" s="430">
        <v>-0.97</v>
      </c>
      <c r="F238" s="430">
        <v>-0.97</v>
      </c>
      <c r="G238" s="430">
        <v>18.309999999999999</v>
      </c>
      <c r="H238" s="430">
        <v>5.1100000000000003</v>
      </c>
      <c r="I238" s="430">
        <v>18.579999999999998</v>
      </c>
      <c r="J238" s="430">
        <v>18.77</v>
      </c>
      <c r="K238" s="430">
        <v>18.309999999999999</v>
      </c>
      <c r="L238" s="430">
        <v>5.1100000000000003</v>
      </c>
    </row>
    <row r="239" spans="1:12" x14ac:dyDescent="0.2">
      <c r="A239" s="432">
        <v>45932</v>
      </c>
      <c r="B239" s="2">
        <v>18.489999999999998</v>
      </c>
      <c r="C239" s="2">
        <v>440911</v>
      </c>
      <c r="D239" s="2">
        <v>0.2</v>
      </c>
      <c r="E239" s="2">
        <v>1.0900000000000001</v>
      </c>
      <c r="F239" s="2">
        <v>1.0900000000000001</v>
      </c>
      <c r="G239" s="2">
        <v>18.489999999999998</v>
      </c>
      <c r="H239" s="2">
        <v>6.14</v>
      </c>
      <c r="I239" s="2">
        <v>18.38</v>
      </c>
      <c r="J239" s="2">
        <v>18.55</v>
      </c>
      <c r="K239" s="2">
        <v>18.239999999999998</v>
      </c>
      <c r="L239" s="2">
        <v>6.14</v>
      </c>
    </row>
    <row r="240" spans="1:12" x14ac:dyDescent="0.2">
      <c r="A240" s="431">
        <v>45931</v>
      </c>
      <c r="B240" s="430">
        <v>18.29</v>
      </c>
      <c r="C240" s="430">
        <v>542707</v>
      </c>
      <c r="D240" s="430">
        <v>0.14000000000000001</v>
      </c>
      <c r="E240" s="430">
        <v>0.77</v>
      </c>
      <c r="F240" s="430">
        <v>0.77</v>
      </c>
      <c r="G240" s="430">
        <v>18.29</v>
      </c>
      <c r="H240" s="430">
        <v>4.99</v>
      </c>
      <c r="I240" s="430">
        <v>18.03</v>
      </c>
      <c r="J240" s="430">
        <v>18.36</v>
      </c>
      <c r="K240" s="430">
        <v>17.95</v>
      </c>
      <c r="L240" s="430">
        <v>4.99</v>
      </c>
    </row>
    <row r="241" spans="1:12" x14ac:dyDescent="0.2">
      <c r="A241" s="432">
        <v>45930</v>
      </c>
      <c r="B241" s="2">
        <v>18.149999999999999</v>
      </c>
      <c r="C241" s="2">
        <v>607377</v>
      </c>
      <c r="D241" s="2">
        <v>7.0000000000000007E-2</v>
      </c>
      <c r="E241" s="2">
        <v>0.39</v>
      </c>
      <c r="F241" s="2">
        <v>0.39</v>
      </c>
      <c r="G241" s="2">
        <v>18.149999999999999</v>
      </c>
      <c r="H241" s="2">
        <v>4.1900000000000004</v>
      </c>
      <c r="I241" s="2">
        <v>18.04</v>
      </c>
      <c r="J241" s="2">
        <v>18.16</v>
      </c>
      <c r="K241" s="2">
        <v>17.760000000000002</v>
      </c>
      <c r="L241" s="2">
        <v>4.1900000000000004</v>
      </c>
    </row>
    <row r="242" spans="1:12" x14ac:dyDescent="0.2">
      <c r="A242" s="431">
        <v>45929</v>
      </c>
      <c r="B242" s="430">
        <v>18.079999999999998</v>
      </c>
      <c r="C242" s="430">
        <v>589864</v>
      </c>
      <c r="D242" s="430">
        <v>-0.23</v>
      </c>
      <c r="E242" s="430">
        <v>-1.26</v>
      </c>
      <c r="F242" s="430">
        <v>-1.26</v>
      </c>
      <c r="G242" s="430">
        <v>18.079999999999998</v>
      </c>
      <c r="H242" s="430">
        <v>3.79</v>
      </c>
      <c r="I242" s="430">
        <v>18.399999999999999</v>
      </c>
      <c r="J242" s="430">
        <v>18.440000000000001</v>
      </c>
      <c r="K242" s="430">
        <v>18.03</v>
      </c>
      <c r="L242" s="430">
        <v>3.79</v>
      </c>
    </row>
    <row r="243" spans="1:12" x14ac:dyDescent="0.2">
      <c r="A243" s="432">
        <v>45926</v>
      </c>
      <c r="B243" s="2">
        <v>18.309999999999999</v>
      </c>
      <c r="C243" s="2">
        <v>507874</v>
      </c>
      <c r="D243" s="2">
        <v>0.1</v>
      </c>
      <c r="E243" s="2">
        <v>0.55000000000000004</v>
      </c>
      <c r="F243" s="2">
        <v>0.55000000000000004</v>
      </c>
      <c r="G243" s="2">
        <v>18.309999999999999</v>
      </c>
      <c r="H243" s="2">
        <v>5.1100000000000003</v>
      </c>
      <c r="I243" s="2">
        <v>18.25</v>
      </c>
      <c r="J243" s="2">
        <v>18.47</v>
      </c>
      <c r="K243" s="2">
        <v>18.11</v>
      </c>
      <c r="L243" s="2">
        <v>5.1100000000000003</v>
      </c>
    </row>
    <row r="244" spans="1:12" x14ac:dyDescent="0.2">
      <c r="A244" s="431">
        <v>45925</v>
      </c>
      <c r="B244" s="430">
        <v>18.21</v>
      </c>
      <c r="C244" s="430">
        <v>578437</v>
      </c>
      <c r="D244" s="430">
        <v>-0.03</v>
      </c>
      <c r="E244" s="430">
        <v>-0.16</v>
      </c>
      <c r="F244" s="430">
        <v>-0.16</v>
      </c>
      <c r="G244" s="430">
        <v>18.21</v>
      </c>
      <c r="H244" s="430">
        <v>4.54</v>
      </c>
      <c r="I244" s="430">
        <v>18.18</v>
      </c>
      <c r="J244" s="430">
        <v>18.239999999999998</v>
      </c>
      <c r="K244" s="430">
        <v>17.899999999999999</v>
      </c>
      <c r="L244" s="430">
        <v>4.54</v>
      </c>
    </row>
    <row r="245" spans="1:12" x14ac:dyDescent="0.2">
      <c r="A245" s="432">
        <v>45924</v>
      </c>
      <c r="B245" s="2">
        <v>18.239999999999998</v>
      </c>
      <c r="C245" s="2">
        <v>584317</v>
      </c>
      <c r="D245" s="2"/>
      <c r="E245" s="2"/>
      <c r="F245" s="2"/>
      <c r="G245" s="2">
        <v>18.239999999999998</v>
      </c>
      <c r="H245" s="2">
        <v>4.71</v>
      </c>
      <c r="I245" s="2">
        <v>18.32</v>
      </c>
      <c r="J245" s="2">
        <v>18.38</v>
      </c>
      <c r="K245" s="2">
        <v>18.100000000000001</v>
      </c>
      <c r="L245" s="2">
        <v>4.71</v>
      </c>
    </row>
    <row r="246" spans="1:12" x14ac:dyDescent="0.2">
      <c r="A246" s="431">
        <v>45923</v>
      </c>
      <c r="B246" s="430">
        <v>18.239999999999998</v>
      </c>
      <c r="C246" s="430">
        <v>840886</v>
      </c>
      <c r="D246" s="430">
        <v>-0.09</v>
      </c>
      <c r="E246" s="430">
        <v>-0.49</v>
      </c>
      <c r="F246" s="430">
        <v>-0.49</v>
      </c>
      <c r="G246" s="430">
        <v>18.239999999999998</v>
      </c>
      <c r="H246" s="430">
        <v>4.71</v>
      </c>
      <c r="I246" s="430">
        <v>18.309999999999999</v>
      </c>
      <c r="J246" s="430">
        <v>18.45</v>
      </c>
      <c r="K246" s="430">
        <v>18.100000000000001</v>
      </c>
      <c r="L246" s="430">
        <v>4.71</v>
      </c>
    </row>
    <row r="247" spans="1:12" x14ac:dyDescent="0.2">
      <c r="A247" s="432">
        <v>45922</v>
      </c>
      <c r="B247" s="2">
        <v>18.329999999999998</v>
      </c>
      <c r="C247" s="2">
        <v>777319</v>
      </c>
      <c r="D247" s="2">
        <v>0.15</v>
      </c>
      <c r="E247" s="2">
        <v>0.83</v>
      </c>
      <c r="F247" s="2">
        <v>0.83</v>
      </c>
      <c r="G247" s="2">
        <v>18.329999999999998</v>
      </c>
      <c r="H247" s="2">
        <v>5.22</v>
      </c>
      <c r="I247" s="2">
        <v>18.149999999999999</v>
      </c>
      <c r="J247" s="2">
        <v>18.34</v>
      </c>
      <c r="K247" s="2">
        <v>17.940000000000001</v>
      </c>
      <c r="L247" s="2">
        <v>5.22</v>
      </c>
    </row>
    <row r="248" spans="1:12" x14ac:dyDescent="0.2">
      <c r="A248" s="431">
        <v>45919</v>
      </c>
      <c r="B248" s="430">
        <v>18.18</v>
      </c>
      <c r="C248" s="430">
        <v>2272291</v>
      </c>
      <c r="D248" s="430">
        <v>0.11</v>
      </c>
      <c r="E248" s="430">
        <v>0.61</v>
      </c>
      <c r="F248" s="430">
        <v>0.61</v>
      </c>
      <c r="G248" s="430">
        <v>18.18</v>
      </c>
      <c r="H248" s="430">
        <v>4.3600000000000003</v>
      </c>
      <c r="I248" s="430">
        <v>18.13</v>
      </c>
      <c r="J248" s="430">
        <v>18.25</v>
      </c>
      <c r="K248" s="430">
        <v>17.96</v>
      </c>
      <c r="L248" s="430">
        <v>4.3600000000000003</v>
      </c>
    </row>
    <row r="249" spans="1:12" x14ac:dyDescent="0.2">
      <c r="A249" s="432">
        <v>45918</v>
      </c>
      <c r="B249" s="2">
        <v>18.07</v>
      </c>
      <c r="C249" s="2">
        <v>837315</v>
      </c>
      <c r="D249" s="2">
        <v>0.42</v>
      </c>
      <c r="E249" s="2">
        <v>2.38</v>
      </c>
      <c r="F249" s="2">
        <v>2.38</v>
      </c>
      <c r="G249" s="2">
        <v>18.07</v>
      </c>
      <c r="H249" s="2">
        <v>3.73</v>
      </c>
      <c r="I249" s="2">
        <v>17.77</v>
      </c>
      <c r="J249" s="2">
        <v>18.2</v>
      </c>
      <c r="K249" s="2">
        <v>17.7</v>
      </c>
      <c r="L249" s="2">
        <v>3.73</v>
      </c>
    </row>
    <row r="250" spans="1:12" x14ac:dyDescent="0.2">
      <c r="A250" s="431">
        <v>45917</v>
      </c>
      <c r="B250" s="430">
        <v>17.649999999999999</v>
      </c>
      <c r="C250" s="430">
        <v>687545</v>
      </c>
      <c r="D250" s="430">
        <v>0.22</v>
      </c>
      <c r="E250" s="430">
        <v>1.26</v>
      </c>
      <c r="F250" s="430">
        <v>1.26</v>
      </c>
      <c r="G250" s="430">
        <v>17.649999999999999</v>
      </c>
      <c r="H250" s="430">
        <v>1.32</v>
      </c>
      <c r="I250" s="430">
        <v>17.55</v>
      </c>
      <c r="J250" s="430">
        <v>17.82</v>
      </c>
      <c r="K250" s="430">
        <v>17.440000000000001</v>
      </c>
      <c r="L250" s="430">
        <v>1.32</v>
      </c>
    </row>
    <row r="251" spans="1:12" x14ac:dyDescent="0.2">
      <c r="A251" s="432">
        <v>45916</v>
      </c>
      <c r="B251" s="2">
        <v>17.43</v>
      </c>
      <c r="C251" s="2">
        <v>597966</v>
      </c>
      <c r="D251" s="2">
        <v>-0.24</v>
      </c>
      <c r="E251" s="2">
        <v>-1.36</v>
      </c>
      <c r="F251" s="2">
        <v>-1.36</v>
      </c>
      <c r="G251" s="2">
        <v>17.43</v>
      </c>
      <c r="H251" s="2">
        <v>0.06</v>
      </c>
      <c r="I251" s="2">
        <v>17.71</v>
      </c>
      <c r="J251" s="2">
        <v>17.71</v>
      </c>
      <c r="K251" s="2">
        <v>17.27</v>
      </c>
      <c r="L251" s="2">
        <v>0.06</v>
      </c>
    </row>
    <row r="252" spans="1:12" x14ac:dyDescent="0.2">
      <c r="A252" s="431">
        <v>45915</v>
      </c>
      <c r="B252" s="430">
        <v>17.670000000000002</v>
      </c>
      <c r="C252" s="430">
        <v>671577</v>
      </c>
      <c r="D252" s="430">
        <v>0.22</v>
      </c>
      <c r="E252" s="430">
        <v>1.26</v>
      </c>
      <c r="F252" s="430">
        <v>1.26</v>
      </c>
      <c r="G252" s="430">
        <v>17.670000000000002</v>
      </c>
      <c r="H252" s="430">
        <v>1.44</v>
      </c>
      <c r="I252" s="430">
        <v>17.5</v>
      </c>
      <c r="J252" s="430">
        <v>17.78</v>
      </c>
      <c r="K252" s="430">
        <v>17.38</v>
      </c>
      <c r="L252" s="430">
        <v>1.44</v>
      </c>
    </row>
    <row r="253" spans="1:12" x14ac:dyDescent="0.2">
      <c r="A253" s="432">
        <v>45912</v>
      </c>
      <c r="B253" s="2">
        <v>17.45</v>
      </c>
      <c r="C253" s="2">
        <v>499322</v>
      </c>
      <c r="D253" s="2">
        <v>-0.42</v>
      </c>
      <c r="E253" s="2">
        <v>-2.35</v>
      </c>
      <c r="F253" s="2">
        <v>-2.35</v>
      </c>
      <c r="G253" s="2">
        <v>17.45</v>
      </c>
      <c r="H253" s="2">
        <v>0.17</v>
      </c>
      <c r="I253" s="2">
        <v>17.87</v>
      </c>
      <c r="J253" s="2">
        <v>17.87</v>
      </c>
      <c r="K253" s="2">
        <v>17.37</v>
      </c>
      <c r="L253" s="2">
        <v>0.17</v>
      </c>
    </row>
    <row r="254" spans="1:12" x14ac:dyDescent="0.2">
      <c r="A254" s="431">
        <v>45911</v>
      </c>
      <c r="B254" s="430">
        <v>17.87</v>
      </c>
      <c r="C254" s="430">
        <v>621512</v>
      </c>
      <c r="D254" s="430">
        <v>0.45</v>
      </c>
      <c r="E254" s="430">
        <v>2.58</v>
      </c>
      <c r="F254" s="430">
        <v>2.58</v>
      </c>
      <c r="G254" s="430">
        <v>17.87</v>
      </c>
      <c r="H254" s="430">
        <v>2.58</v>
      </c>
      <c r="I254" s="430">
        <v>17.489999999999998</v>
      </c>
      <c r="J254" s="430">
        <v>17.95</v>
      </c>
      <c r="K254" s="430">
        <v>17.420000000000002</v>
      </c>
      <c r="L254" s="430">
        <v>2.58</v>
      </c>
    </row>
    <row r="255" spans="1:12" x14ac:dyDescent="0.2">
      <c r="A255" s="432">
        <v>45910</v>
      </c>
      <c r="B255" s="2">
        <v>17.420000000000002</v>
      </c>
      <c r="C255" s="2">
        <v>620205</v>
      </c>
      <c r="D255" s="2"/>
      <c r="E255" s="2"/>
      <c r="F255" s="2"/>
      <c r="G255" s="2">
        <v>17.420000000000002</v>
      </c>
      <c r="H255" s="2"/>
      <c r="I255" s="2">
        <v>17.61</v>
      </c>
      <c r="J255" s="2">
        <v>17.63</v>
      </c>
      <c r="K255" s="2">
        <v>17.29</v>
      </c>
      <c r="L255" s="2"/>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tabColor theme="3"/>
  </sheetPr>
  <sheetViews>
    <sheetView showGridLines="0" workbookViewId="0"/>
  </sheetViews>
  <sheetFormatPr defaultRowHeight="12.75"/>
  <cols>
    <col min="1" max="1" width="2.6" customWidth="1"/>
    <col min="2" max="2" width="3" customWidth="1"/>
    <col min="3" max="3" width="34" customWidth="1"/>
    <col min="4" max="4" width="11" customWidth="1"/>
    <col min="5" max="5" width="10.5" customWidth="1"/>
    <col min="6" max="6" width="10.5" customWidth="1"/>
    <col min="7" max="7" width="10.5" customWidth="1"/>
    <col min="8" max="8" width="10.5" customWidth="1"/>
    <col min="9" max="9" width="10.5" customWidth="1"/>
    <col min="10" max="10" width="10.5" customWidth="1"/>
    <col min="11" max="11" width="10.5" customWidth="1"/>
    <col min="12" max="12" width="3" customWidth="1"/>
  </cols>
  <sheetData>
    <row r="2">
      <c r="B2" s="611">
        <f>Assumptions!$B$2&amp;" – DCF Sensitivity: Cost of Equity vs. Perpetuity Growth"</f>
      </c>
    </row>
    <row r="3">
      <c r="B3" s="615" t="inlineStr">
        <is>
          <t xml:space="preserve">Re-prices the FCFE DCF on OUT-DCF using the same cash flows, discount periods and terminal-year FCFE. Only k and g change. Green = linked, black = calculated.</t>
        </is>
      </c>
    </row>
    <row r="5">
      <c r="B5" s="158" t="inlineStr">
        <is>
          <t xml:space="preserve">Base Case (linked to OUT-DCF)</t>
        </is>
      </c>
      <c r="C5" s="159"/>
      <c r="D5" s="159"/>
      <c r="E5" s="159"/>
      <c r="F5" s="159"/>
      <c r="G5" s="159"/>
      <c r="H5" s="159"/>
      <c r="I5" s="159"/>
      <c r="J5" s="159"/>
      <c r="K5" s="159"/>
      <c r="L5" s="159"/>
    </row>
    <row r="6">
      <c r="C6" s="8" t="inlineStr">
        <is>
          <t xml:space="preserve">Cost of equity (k)</t>
        </is>
      </c>
      <c r="G6" s="617">
        <f>'OUT-DCF'!G48</f>
      </c>
    </row>
    <row r="7">
      <c r="C7" s="8" t="inlineStr">
        <is>
          <t xml:space="preserve">Perpetuity growth rate (g)</t>
        </is>
      </c>
      <c r="G7" s="617">
        <f>'OUT-DCF'!G44</f>
      </c>
    </row>
    <row r="8">
      <c r="C8" s="8" t="inlineStr">
        <is>
          <t xml:space="preserve">Grid step – k (Assumptions: Sensitivity Step k)</t>
        </is>
      </c>
      <c r="G8" s="617">
        <f>'OUT-DCF'!Q43</f>
      </c>
    </row>
    <row r="9">
      <c r="C9" s="8" t="inlineStr">
        <is>
          <t xml:space="preserve">Grid step – g (Assumptions: Sensitivity Step PGR)</t>
        </is>
      </c>
      <c r="G9" s="617">
        <f>'OUT-DCF'!R43</f>
      </c>
    </row>
    <row r="10">
      <c r="C10" s="8" t="inlineStr">
        <is>
          <t xml:space="preserve">Fully diluted shares (mm)</t>
        </is>
      </c>
      <c r="G10" s="620">
        <f>'OUT-DCF'!G53</f>
      </c>
    </row>
    <row r="11">
      <c r="C11" s="8" t="inlineStr">
        <is>
          <t xml:space="preserve">Current share price</t>
        </is>
      </c>
      <c r="G11" s="619">
        <f>Assumptions!D10</f>
      </c>
    </row>
    <row r="12">
      <c r="C12" s="8" t="inlineStr">
        <is>
          <t xml:space="preserve">Implied share price – OUT-DCF</t>
        </is>
      </c>
      <c r="G12" s="619">
        <f>'OUT-DCF'!G54</f>
      </c>
    </row>
    <row r="13">
      <c r="C13" s="8" t="inlineStr">
        <is>
          <t xml:space="preserve">Upside / (downside) to current price</t>
        </is>
      </c>
      <c r="G13" s="631">
        <f>G12/G11-1</f>
      </c>
    </row>
    <row r="14">
      <c r="C14" s="8" t="inlineStr">
        <is>
          <t xml:space="preserve">Check: grid center less OUT-DCF price (should be 0.00)</t>
        </is>
      </c>
      <c r="G14" s="629">
        <f>ROUND(H23-G12,6)</f>
      </c>
    </row>
    <row r="16">
      <c r="B16" s="158" t="inlineStr">
        <is>
          <t xml:space="preserve">Implied Share Price ($) – Cost of Equity (rows) vs. Perpetuity Growth (columns)</t>
        </is>
      </c>
      <c r="C16" s="159"/>
      <c r="D16" s="159"/>
      <c r="E16" s="159"/>
      <c r="F16" s="159"/>
      <c r="G16" s="159"/>
      <c r="H16" s="159"/>
      <c r="I16" s="159"/>
      <c r="J16" s="159"/>
      <c r="K16" s="159"/>
      <c r="L16" s="159"/>
    </row>
    <row r="18">
      <c r="D18" s="638" t="inlineStr">
        <is>
          <t xml:space="preserve">k  \  g</t>
        </is>
      </c>
      <c r="E18" s="636">
        <f>$G$7-3*$G$9</f>
      </c>
      <c r="F18" s="636">
        <f>$G$7-2*$G$9</f>
      </c>
      <c r="G18" s="636">
        <f>$G$7-1*$G$9</f>
      </c>
      <c r="H18" s="636">
        <f>$G$7+0*$G$9</f>
      </c>
      <c r="I18" s="636">
        <f>$G$7+1*$G$9</f>
      </c>
      <c r="J18" s="636">
        <f>$G$7+2*$G$9</f>
      </c>
      <c r="K18" s="636">
        <f>$G$7+3*$G$9</f>
      </c>
    </row>
    <row r="19">
      <c r="C19" s="8"/>
    </row>
    <row r="20">
      <c r="D20" s="637">
        <f>$G$6-3*$G$8</f>
      </c>
      <c r="E20" s="626">
        <f>IF($D20&lt;=E$18,"n.m.",(SUMPRODUCT('OUT-DCF'!$H$27:$L$27/(1+$D20)^'OUT-DCF'!$H$36:$L$36)+'OUT-DCF'!$G$43*(1+E$18)/($D20-E$18)/(1+$D20)^'OUT-DCF'!$G$47)/$G$10)</f>
      </c>
      <c r="F20" s="626">
        <f>IF($D20&lt;=F$18,"n.m.",(SUMPRODUCT('OUT-DCF'!$H$27:$L$27/(1+$D20)^'OUT-DCF'!$H$36:$L$36)+'OUT-DCF'!$G$43*(1+F$18)/($D20-F$18)/(1+$D20)^'OUT-DCF'!$G$47)/$G$10)</f>
      </c>
      <c r="G20" s="626">
        <f>IF($D20&lt;=G$18,"n.m.",(SUMPRODUCT('OUT-DCF'!$H$27:$L$27/(1+$D20)^'OUT-DCF'!$H$36:$L$36)+'OUT-DCF'!$G$43*(1+G$18)/($D20-G$18)/(1+$D20)^'OUT-DCF'!$G$47)/$G$10)</f>
      </c>
      <c r="H20" s="626">
        <f>IF($D20&lt;=H$18,"n.m.",(SUMPRODUCT('OUT-DCF'!$H$27:$L$27/(1+$D20)^'OUT-DCF'!$H$36:$L$36)+'OUT-DCF'!$G$43*(1+H$18)/($D20-H$18)/(1+$D20)^'OUT-DCF'!$G$47)/$G$10)</f>
      </c>
      <c r="I20" s="626">
        <f>IF($D20&lt;=I$18,"n.m.",(SUMPRODUCT('OUT-DCF'!$H$27:$L$27/(1+$D20)^'OUT-DCF'!$H$36:$L$36)+'OUT-DCF'!$G$43*(1+I$18)/($D20-I$18)/(1+$D20)^'OUT-DCF'!$G$47)/$G$10)</f>
      </c>
      <c r="J20" s="626">
        <f>IF($D20&lt;=J$18,"n.m.",(SUMPRODUCT('OUT-DCF'!$H$27:$L$27/(1+$D20)^'OUT-DCF'!$H$36:$L$36)+'OUT-DCF'!$G$43*(1+J$18)/($D20-J$18)/(1+$D20)^'OUT-DCF'!$G$47)/$G$10)</f>
      </c>
      <c r="K20" s="626">
        <f>IF($D20&lt;=K$18,"n.m.",(SUMPRODUCT('OUT-DCF'!$H$27:$L$27/(1+$D20)^'OUT-DCF'!$H$36:$L$36)+'OUT-DCF'!$G$43*(1+K$18)/($D20-K$18)/(1+$D20)^'OUT-DCF'!$G$47)/$G$10)</f>
      </c>
    </row>
    <row r="21">
      <c r="D21" s="637">
        <f>$G$6-2*$G$8</f>
      </c>
      <c r="E21" s="626">
        <f>IF($D21&lt;=E$18,"n.m.",(SUMPRODUCT('OUT-DCF'!$H$27:$L$27/(1+$D21)^'OUT-DCF'!$H$36:$L$36)+'OUT-DCF'!$G$43*(1+E$18)/($D21-E$18)/(1+$D21)^'OUT-DCF'!$G$47)/$G$10)</f>
      </c>
      <c r="F21" s="626">
        <f>IF($D21&lt;=F$18,"n.m.",(SUMPRODUCT('OUT-DCF'!$H$27:$L$27/(1+$D21)^'OUT-DCF'!$H$36:$L$36)+'OUT-DCF'!$G$43*(1+F$18)/($D21-F$18)/(1+$D21)^'OUT-DCF'!$G$47)/$G$10)</f>
      </c>
      <c r="G21" s="626">
        <f>IF($D21&lt;=G$18,"n.m.",(SUMPRODUCT('OUT-DCF'!$H$27:$L$27/(1+$D21)^'OUT-DCF'!$H$36:$L$36)+'OUT-DCF'!$G$43*(1+G$18)/($D21-G$18)/(1+$D21)^'OUT-DCF'!$G$47)/$G$10)</f>
      </c>
      <c r="H21" s="626">
        <f>IF($D21&lt;=H$18,"n.m.",(SUMPRODUCT('OUT-DCF'!$H$27:$L$27/(1+$D21)^'OUT-DCF'!$H$36:$L$36)+'OUT-DCF'!$G$43*(1+H$18)/($D21-H$18)/(1+$D21)^'OUT-DCF'!$G$47)/$G$10)</f>
      </c>
      <c r="I21" s="626">
        <f>IF($D21&lt;=I$18,"n.m.",(SUMPRODUCT('OUT-DCF'!$H$27:$L$27/(1+$D21)^'OUT-DCF'!$H$36:$L$36)+'OUT-DCF'!$G$43*(1+I$18)/($D21-I$18)/(1+$D21)^'OUT-DCF'!$G$47)/$G$10)</f>
      </c>
      <c r="J21" s="626">
        <f>IF($D21&lt;=J$18,"n.m.",(SUMPRODUCT('OUT-DCF'!$H$27:$L$27/(1+$D21)^'OUT-DCF'!$H$36:$L$36)+'OUT-DCF'!$G$43*(1+J$18)/($D21-J$18)/(1+$D21)^'OUT-DCF'!$G$47)/$G$10)</f>
      </c>
      <c r="K21" s="626">
        <f>IF($D21&lt;=K$18,"n.m.",(SUMPRODUCT('OUT-DCF'!$H$27:$L$27/(1+$D21)^'OUT-DCF'!$H$36:$L$36)+'OUT-DCF'!$G$43*(1+K$18)/($D21-K$18)/(1+$D21)^'OUT-DCF'!$G$47)/$G$10)</f>
      </c>
    </row>
    <row r="22">
      <c r="D22" s="637">
        <f>$G$6-1*$G$8</f>
      </c>
      <c r="E22" s="626">
        <f>IF($D22&lt;=E$18,"n.m.",(SUMPRODUCT('OUT-DCF'!$H$27:$L$27/(1+$D22)^'OUT-DCF'!$H$36:$L$36)+'OUT-DCF'!$G$43*(1+E$18)/($D22-E$18)/(1+$D22)^'OUT-DCF'!$G$47)/$G$10)</f>
      </c>
      <c r="F22" s="626">
        <f>IF($D22&lt;=F$18,"n.m.",(SUMPRODUCT('OUT-DCF'!$H$27:$L$27/(1+$D22)^'OUT-DCF'!$H$36:$L$36)+'OUT-DCF'!$G$43*(1+F$18)/($D22-F$18)/(1+$D22)^'OUT-DCF'!$G$47)/$G$10)</f>
      </c>
      <c r="G22" s="626">
        <f>IF($D22&lt;=G$18,"n.m.",(SUMPRODUCT('OUT-DCF'!$H$27:$L$27/(1+$D22)^'OUT-DCF'!$H$36:$L$36)+'OUT-DCF'!$G$43*(1+G$18)/($D22-G$18)/(1+$D22)^'OUT-DCF'!$G$47)/$G$10)</f>
      </c>
      <c r="H22" s="626">
        <f>IF($D22&lt;=H$18,"n.m.",(SUMPRODUCT('OUT-DCF'!$H$27:$L$27/(1+$D22)^'OUT-DCF'!$H$36:$L$36)+'OUT-DCF'!$G$43*(1+H$18)/($D22-H$18)/(1+$D22)^'OUT-DCF'!$G$47)/$G$10)</f>
      </c>
      <c r="I22" s="626">
        <f>IF($D22&lt;=I$18,"n.m.",(SUMPRODUCT('OUT-DCF'!$H$27:$L$27/(1+$D22)^'OUT-DCF'!$H$36:$L$36)+'OUT-DCF'!$G$43*(1+I$18)/($D22-I$18)/(1+$D22)^'OUT-DCF'!$G$47)/$G$10)</f>
      </c>
      <c r="J22" s="626">
        <f>IF($D22&lt;=J$18,"n.m.",(SUMPRODUCT('OUT-DCF'!$H$27:$L$27/(1+$D22)^'OUT-DCF'!$H$36:$L$36)+'OUT-DCF'!$G$43*(1+J$18)/($D22-J$18)/(1+$D22)^'OUT-DCF'!$G$47)/$G$10)</f>
      </c>
      <c r="K22" s="626">
        <f>IF($D22&lt;=K$18,"n.m.",(SUMPRODUCT('OUT-DCF'!$H$27:$L$27/(1+$D22)^'OUT-DCF'!$H$36:$L$36)+'OUT-DCF'!$G$43*(1+K$18)/($D22-K$18)/(1+$D22)^'OUT-DCF'!$G$47)/$G$10)</f>
      </c>
    </row>
    <row r="23">
      <c r="D23" s="637">
        <f>$G$6+0*$G$8</f>
      </c>
      <c r="E23" s="626">
        <f>IF($D23&lt;=E$18,"n.m.",(SUMPRODUCT('OUT-DCF'!$H$27:$L$27/(1+$D23)^'OUT-DCF'!$H$36:$L$36)+'OUT-DCF'!$G$43*(1+E$18)/($D23-E$18)/(1+$D23)^'OUT-DCF'!$G$47)/$G$10)</f>
      </c>
      <c r="F23" s="626">
        <f>IF($D23&lt;=F$18,"n.m.",(SUMPRODUCT('OUT-DCF'!$H$27:$L$27/(1+$D23)^'OUT-DCF'!$H$36:$L$36)+'OUT-DCF'!$G$43*(1+F$18)/($D23-F$18)/(1+$D23)^'OUT-DCF'!$G$47)/$G$10)</f>
      </c>
      <c r="G23" s="626">
        <f>IF($D23&lt;=G$18,"n.m.",(SUMPRODUCT('OUT-DCF'!$H$27:$L$27/(1+$D23)^'OUT-DCF'!$H$36:$L$36)+'OUT-DCF'!$G$43*(1+G$18)/($D23-G$18)/(1+$D23)^'OUT-DCF'!$G$47)/$G$10)</f>
      </c>
      <c r="H23" s="639">
        <f>IF($D23&lt;=H$18,"n.m.",(SUMPRODUCT('OUT-DCF'!$H$27:$L$27/(1+$D23)^'OUT-DCF'!$H$36:$L$36)+'OUT-DCF'!$G$43*(1+H$18)/($D23-H$18)/(1+$D23)^'OUT-DCF'!$G$47)/$G$10)</f>
      </c>
      <c r="I23" s="626">
        <f>IF($D23&lt;=I$18,"n.m.",(SUMPRODUCT('OUT-DCF'!$H$27:$L$27/(1+$D23)^'OUT-DCF'!$H$36:$L$36)+'OUT-DCF'!$G$43*(1+I$18)/($D23-I$18)/(1+$D23)^'OUT-DCF'!$G$47)/$G$10)</f>
      </c>
      <c r="J23" s="626">
        <f>IF($D23&lt;=J$18,"n.m.",(SUMPRODUCT('OUT-DCF'!$H$27:$L$27/(1+$D23)^'OUT-DCF'!$H$36:$L$36)+'OUT-DCF'!$G$43*(1+J$18)/($D23-J$18)/(1+$D23)^'OUT-DCF'!$G$47)/$G$10)</f>
      </c>
      <c r="K23" s="626">
        <f>IF($D23&lt;=K$18,"n.m.",(SUMPRODUCT('OUT-DCF'!$H$27:$L$27/(1+$D23)^'OUT-DCF'!$H$36:$L$36)+'OUT-DCF'!$G$43*(1+K$18)/($D23-K$18)/(1+$D23)^'OUT-DCF'!$G$47)/$G$10)</f>
      </c>
    </row>
    <row r="24">
      <c r="D24" s="637">
        <f>$G$6+1*$G$8</f>
      </c>
      <c r="E24" s="626">
        <f>IF($D24&lt;=E$18,"n.m.",(SUMPRODUCT('OUT-DCF'!$H$27:$L$27/(1+$D24)^'OUT-DCF'!$H$36:$L$36)+'OUT-DCF'!$G$43*(1+E$18)/($D24-E$18)/(1+$D24)^'OUT-DCF'!$G$47)/$G$10)</f>
      </c>
      <c r="F24" s="626">
        <f>IF($D24&lt;=F$18,"n.m.",(SUMPRODUCT('OUT-DCF'!$H$27:$L$27/(1+$D24)^'OUT-DCF'!$H$36:$L$36)+'OUT-DCF'!$G$43*(1+F$18)/($D24-F$18)/(1+$D24)^'OUT-DCF'!$G$47)/$G$10)</f>
      </c>
      <c r="G24" s="626">
        <f>IF($D24&lt;=G$18,"n.m.",(SUMPRODUCT('OUT-DCF'!$H$27:$L$27/(1+$D24)^'OUT-DCF'!$H$36:$L$36)+'OUT-DCF'!$G$43*(1+G$18)/($D24-G$18)/(1+$D24)^'OUT-DCF'!$G$47)/$G$10)</f>
      </c>
      <c r="H24" s="626">
        <f>IF($D24&lt;=H$18,"n.m.",(SUMPRODUCT('OUT-DCF'!$H$27:$L$27/(1+$D24)^'OUT-DCF'!$H$36:$L$36)+'OUT-DCF'!$G$43*(1+H$18)/($D24-H$18)/(1+$D24)^'OUT-DCF'!$G$47)/$G$10)</f>
      </c>
      <c r="I24" s="626">
        <f>IF($D24&lt;=I$18,"n.m.",(SUMPRODUCT('OUT-DCF'!$H$27:$L$27/(1+$D24)^'OUT-DCF'!$H$36:$L$36)+'OUT-DCF'!$G$43*(1+I$18)/($D24-I$18)/(1+$D24)^'OUT-DCF'!$G$47)/$G$10)</f>
      </c>
      <c r="J24" s="626">
        <f>IF($D24&lt;=J$18,"n.m.",(SUMPRODUCT('OUT-DCF'!$H$27:$L$27/(1+$D24)^'OUT-DCF'!$H$36:$L$36)+'OUT-DCF'!$G$43*(1+J$18)/($D24-J$18)/(1+$D24)^'OUT-DCF'!$G$47)/$G$10)</f>
      </c>
      <c r="K24" s="626">
        <f>IF($D24&lt;=K$18,"n.m.",(SUMPRODUCT('OUT-DCF'!$H$27:$L$27/(1+$D24)^'OUT-DCF'!$H$36:$L$36)+'OUT-DCF'!$G$43*(1+K$18)/($D24-K$18)/(1+$D24)^'OUT-DCF'!$G$47)/$G$10)</f>
      </c>
    </row>
    <row r="25">
      <c r="D25" s="637">
        <f>$G$6+2*$G$8</f>
      </c>
      <c r="E25" s="626">
        <f>IF($D25&lt;=E$18,"n.m.",(SUMPRODUCT('OUT-DCF'!$H$27:$L$27/(1+$D25)^'OUT-DCF'!$H$36:$L$36)+'OUT-DCF'!$G$43*(1+E$18)/($D25-E$18)/(1+$D25)^'OUT-DCF'!$G$47)/$G$10)</f>
      </c>
      <c r="F25" s="626">
        <f>IF($D25&lt;=F$18,"n.m.",(SUMPRODUCT('OUT-DCF'!$H$27:$L$27/(1+$D25)^'OUT-DCF'!$H$36:$L$36)+'OUT-DCF'!$G$43*(1+F$18)/($D25-F$18)/(1+$D25)^'OUT-DCF'!$G$47)/$G$10)</f>
      </c>
      <c r="G25" s="626">
        <f>IF($D25&lt;=G$18,"n.m.",(SUMPRODUCT('OUT-DCF'!$H$27:$L$27/(1+$D25)^'OUT-DCF'!$H$36:$L$36)+'OUT-DCF'!$G$43*(1+G$18)/($D25-G$18)/(1+$D25)^'OUT-DCF'!$G$47)/$G$10)</f>
      </c>
      <c r="H25" s="626">
        <f>IF($D25&lt;=H$18,"n.m.",(SUMPRODUCT('OUT-DCF'!$H$27:$L$27/(1+$D25)^'OUT-DCF'!$H$36:$L$36)+'OUT-DCF'!$G$43*(1+H$18)/($D25-H$18)/(1+$D25)^'OUT-DCF'!$G$47)/$G$10)</f>
      </c>
      <c r="I25" s="626">
        <f>IF($D25&lt;=I$18,"n.m.",(SUMPRODUCT('OUT-DCF'!$H$27:$L$27/(1+$D25)^'OUT-DCF'!$H$36:$L$36)+'OUT-DCF'!$G$43*(1+I$18)/($D25-I$18)/(1+$D25)^'OUT-DCF'!$G$47)/$G$10)</f>
      </c>
      <c r="J25" s="626">
        <f>IF($D25&lt;=J$18,"n.m.",(SUMPRODUCT('OUT-DCF'!$H$27:$L$27/(1+$D25)^'OUT-DCF'!$H$36:$L$36)+'OUT-DCF'!$G$43*(1+J$18)/($D25-J$18)/(1+$D25)^'OUT-DCF'!$G$47)/$G$10)</f>
      </c>
      <c r="K25" s="626">
        <f>IF($D25&lt;=K$18,"n.m.",(SUMPRODUCT('OUT-DCF'!$H$27:$L$27/(1+$D25)^'OUT-DCF'!$H$36:$L$36)+'OUT-DCF'!$G$43*(1+K$18)/($D25-K$18)/(1+$D25)^'OUT-DCF'!$G$47)/$G$10)</f>
      </c>
    </row>
    <row r="26">
      <c r="D26" s="637">
        <f>$G$6+3*$G$8</f>
      </c>
      <c r="E26" s="626">
        <f>IF($D26&lt;=E$18,"n.m.",(SUMPRODUCT('OUT-DCF'!$H$27:$L$27/(1+$D26)^'OUT-DCF'!$H$36:$L$36)+'OUT-DCF'!$G$43*(1+E$18)/($D26-E$18)/(1+$D26)^'OUT-DCF'!$G$47)/$G$10)</f>
      </c>
      <c r="F26" s="626">
        <f>IF($D26&lt;=F$18,"n.m.",(SUMPRODUCT('OUT-DCF'!$H$27:$L$27/(1+$D26)^'OUT-DCF'!$H$36:$L$36)+'OUT-DCF'!$G$43*(1+F$18)/($D26-F$18)/(1+$D26)^'OUT-DCF'!$G$47)/$G$10)</f>
      </c>
      <c r="G26" s="626">
        <f>IF($D26&lt;=G$18,"n.m.",(SUMPRODUCT('OUT-DCF'!$H$27:$L$27/(1+$D26)^'OUT-DCF'!$H$36:$L$36)+'OUT-DCF'!$G$43*(1+G$18)/($D26-G$18)/(1+$D26)^'OUT-DCF'!$G$47)/$G$10)</f>
      </c>
      <c r="H26" s="626">
        <f>IF($D26&lt;=H$18,"n.m.",(SUMPRODUCT('OUT-DCF'!$H$27:$L$27/(1+$D26)^'OUT-DCF'!$H$36:$L$36)+'OUT-DCF'!$G$43*(1+H$18)/($D26-H$18)/(1+$D26)^'OUT-DCF'!$G$47)/$G$10)</f>
      </c>
      <c r="I26" s="626">
        <f>IF($D26&lt;=I$18,"n.m.",(SUMPRODUCT('OUT-DCF'!$H$27:$L$27/(1+$D26)^'OUT-DCF'!$H$36:$L$36)+'OUT-DCF'!$G$43*(1+I$18)/($D26-I$18)/(1+$D26)^'OUT-DCF'!$G$47)/$G$10)</f>
      </c>
      <c r="J26" s="626">
        <f>IF($D26&lt;=J$18,"n.m.",(SUMPRODUCT('OUT-DCF'!$H$27:$L$27/(1+$D26)^'OUT-DCF'!$H$36:$L$36)+'OUT-DCF'!$G$43*(1+J$18)/($D26-J$18)/(1+$D26)^'OUT-DCF'!$G$47)/$G$10)</f>
      </c>
      <c r="K26" s="626">
        <f>IF($D26&lt;=K$18,"n.m.",(SUMPRODUCT('OUT-DCF'!$H$27:$L$27/(1+$D26)^'OUT-DCF'!$H$36:$L$36)+'OUT-DCF'!$G$43*(1+K$18)/($D26-K$18)/(1+$D26)^'OUT-DCF'!$G$47)/$G$10)</f>
      </c>
    </row>
    <row r="27">
      <c r="B27" s="158" t="inlineStr">
        <is>
          <t xml:space="preserve">Upside / (Downside) vs. Current Share Price</t>
        </is>
      </c>
      <c r="C27" s="159"/>
      <c r="D27" s="159"/>
      <c r="E27" s="159"/>
      <c r="F27" s="159"/>
      <c r="G27" s="159"/>
      <c r="H27" s="159"/>
      <c r="I27" s="159"/>
      <c r="J27" s="159"/>
      <c r="K27" s="159"/>
      <c r="L27" s="159"/>
    </row>
    <row r="29">
      <c r="D29" s="638" t="inlineStr">
        <is>
          <t xml:space="preserve">k  \  g</t>
        </is>
      </c>
      <c r="E29" s="636">
        <f>$G$7-3*$G$9</f>
      </c>
      <c r="F29" s="636">
        <f>$G$7-2*$G$9</f>
      </c>
      <c r="G29" s="636">
        <f>$G$7-1*$G$9</f>
      </c>
      <c r="H29" s="636">
        <f>$G$7+0*$G$9</f>
      </c>
      <c r="I29" s="636">
        <f>$G$7+1*$G$9</f>
      </c>
      <c r="J29" s="636">
        <f>$G$7+2*$G$9</f>
      </c>
      <c r="K29" s="636">
        <f>$G$7+3*$G$9</f>
      </c>
    </row>
    <row r="31">
      <c r="D31" s="637">
        <f>$G$6-3*$G$8</f>
      </c>
      <c r="E31" s="631">
        <f>IF(ISNUMBER(E20),E20/$G$11-1,"n.m.")</f>
      </c>
      <c r="F31" s="631">
        <f>IF(ISNUMBER(F20),F20/$G$11-1,"n.m.")</f>
      </c>
      <c r="G31" s="631">
        <f>IF(ISNUMBER(G20),G20/$G$11-1,"n.m.")</f>
      </c>
      <c r="H31" s="631">
        <f>IF(ISNUMBER(H20),H20/$G$11-1,"n.m.")</f>
      </c>
      <c r="I31" s="631">
        <f>IF(ISNUMBER(I20),I20/$G$11-1,"n.m.")</f>
      </c>
      <c r="J31" s="631">
        <f>IF(ISNUMBER(J20),J20/$G$11-1,"n.m.")</f>
      </c>
      <c r="K31" s="631">
        <f>IF(ISNUMBER(K20),K20/$G$11-1,"n.m.")</f>
      </c>
    </row>
    <row r="32">
      <c r="D32" s="637">
        <f>$G$6-2*$G$8</f>
      </c>
      <c r="E32" s="631">
        <f>IF(ISNUMBER(E21),E21/$G$11-1,"n.m.")</f>
      </c>
      <c r="F32" s="631">
        <f>IF(ISNUMBER(F21),F21/$G$11-1,"n.m.")</f>
      </c>
      <c r="G32" s="631">
        <f>IF(ISNUMBER(G21),G21/$G$11-1,"n.m.")</f>
      </c>
      <c r="H32" s="631">
        <f>IF(ISNUMBER(H21),H21/$G$11-1,"n.m.")</f>
      </c>
      <c r="I32" s="631">
        <f>IF(ISNUMBER(I21),I21/$G$11-1,"n.m.")</f>
      </c>
      <c r="J32" s="631">
        <f>IF(ISNUMBER(J21),J21/$G$11-1,"n.m.")</f>
      </c>
      <c r="K32" s="631">
        <f>IF(ISNUMBER(K21),K21/$G$11-1,"n.m.")</f>
      </c>
    </row>
    <row r="33">
      <c r="D33" s="637">
        <f>$G$6-1*$G$8</f>
      </c>
      <c r="E33" s="631">
        <f>IF(ISNUMBER(E22),E22/$G$11-1,"n.m.")</f>
      </c>
      <c r="F33" s="631">
        <f>IF(ISNUMBER(F22),F22/$G$11-1,"n.m.")</f>
      </c>
      <c r="G33" s="631">
        <f>IF(ISNUMBER(G22),G22/$G$11-1,"n.m.")</f>
      </c>
      <c r="H33" s="631">
        <f>IF(ISNUMBER(H22),H22/$G$11-1,"n.m.")</f>
      </c>
      <c r="I33" s="631">
        <f>IF(ISNUMBER(I22),I22/$G$11-1,"n.m.")</f>
      </c>
      <c r="J33" s="631">
        <f>IF(ISNUMBER(J22),J22/$G$11-1,"n.m.")</f>
      </c>
      <c r="K33" s="631">
        <f>IF(ISNUMBER(K22),K22/$G$11-1,"n.m.")</f>
      </c>
    </row>
    <row r="34">
      <c r="D34" s="637">
        <f>$G$6+0*$G$8</f>
      </c>
      <c r="E34" s="631">
        <f>IF(ISNUMBER(E23),E23/$G$11-1,"n.m.")</f>
      </c>
      <c r="F34" s="631">
        <f>IF(ISNUMBER(F23),F23/$G$11-1,"n.m.")</f>
      </c>
      <c r="G34" s="631">
        <f>IF(ISNUMBER(G23),G23/$G$11-1,"n.m.")</f>
      </c>
      <c r="H34" s="640">
        <f>IF(ISNUMBER(H23),H23/$G$11-1,"n.m.")</f>
      </c>
      <c r="I34" s="631">
        <f>IF(ISNUMBER(I23),I23/$G$11-1,"n.m.")</f>
      </c>
      <c r="J34" s="631">
        <f>IF(ISNUMBER(J23),J23/$G$11-1,"n.m.")</f>
      </c>
      <c r="K34" s="631">
        <f>IF(ISNUMBER(K23),K23/$G$11-1,"n.m.")</f>
      </c>
    </row>
    <row r="35">
      <c r="D35" s="637">
        <f>$G$6+1*$G$8</f>
      </c>
      <c r="E35" s="631">
        <f>IF(ISNUMBER(E24),E24/$G$11-1,"n.m.")</f>
      </c>
      <c r="F35" s="631">
        <f>IF(ISNUMBER(F24),F24/$G$11-1,"n.m.")</f>
      </c>
      <c r="G35" s="631">
        <f>IF(ISNUMBER(G24),G24/$G$11-1,"n.m.")</f>
      </c>
      <c r="H35" s="631">
        <f>IF(ISNUMBER(H24),H24/$G$11-1,"n.m.")</f>
      </c>
      <c r="I35" s="631">
        <f>IF(ISNUMBER(I24),I24/$G$11-1,"n.m.")</f>
      </c>
      <c r="J35" s="631">
        <f>IF(ISNUMBER(J24),J24/$G$11-1,"n.m.")</f>
      </c>
      <c r="K35" s="631">
        <f>IF(ISNUMBER(K24),K24/$G$11-1,"n.m.")</f>
      </c>
    </row>
    <row r="36">
      <c r="D36" s="637">
        <f>$G$6+2*$G$8</f>
      </c>
      <c r="E36" s="631">
        <f>IF(ISNUMBER(E25),E25/$G$11-1,"n.m.")</f>
      </c>
      <c r="F36" s="631">
        <f>IF(ISNUMBER(F25),F25/$G$11-1,"n.m.")</f>
      </c>
      <c r="G36" s="631">
        <f>IF(ISNUMBER(G25),G25/$G$11-1,"n.m.")</f>
      </c>
      <c r="H36" s="631">
        <f>IF(ISNUMBER(H25),H25/$G$11-1,"n.m.")</f>
      </c>
      <c r="I36" s="631">
        <f>IF(ISNUMBER(I25),I25/$G$11-1,"n.m.")</f>
      </c>
      <c r="J36" s="631">
        <f>IF(ISNUMBER(J25),J25/$G$11-1,"n.m.")</f>
      </c>
      <c r="K36" s="631">
        <f>IF(ISNUMBER(K25),K25/$G$11-1,"n.m.")</f>
      </c>
    </row>
    <row r="37">
      <c r="D37" s="637">
        <f>$G$6+3*$G$8</f>
      </c>
      <c r="E37" s="631">
        <f>IF(ISNUMBER(E26),E26/$G$11-1,"n.m.")</f>
      </c>
      <c r="F37" s="631">
        <f>IF(ISNUMBER(F26),F26/$G$11-1,"n.m.")</f>
      </c>
      <c r="G37" s="631">
        <f>IF(ISNUMBER(G26),G26/$G$11-1,"n.m.")</f>
      </c>
      <c r="H37" s="631">
        <f>IF(ISNUMBER(H26),H26/$G$11-1,"n.m.")</f>
      </c>
      <c r="I37" s="631">
        <f>IF(ISNUMBER(I26),I26/$G$11-1,"n.m.")</f>
      </c>
      <c r="J37" s="631">
        <f>IF(ISNUMBER(J26),J26/$G$11-1,"n.m.")</f>
      </c>
      <c r="K37" s="631">
        <f>IF(ISNUMBER(K26),K26/$G$11-1,"n.m.")</f>
      </c>
    </row>
    <row r="39">
      <c r="B39" s="158" t="inlineStr">
        <is>
          <t xml:space="preserve">What the Current Price Implies</t>
        </is>
      </c>
      <c r="C39" s="159"/>
      <c r="D39" s="159"/>
      <c r="E39" s="159"/>
      <c r="F39" s="159"/>
      <c r="G39" s="159"/>
      <c r="H39" s="159"/>
      <c r="I39" s="159"/>
      <c r="J39" s="159"/>
      <c r="K39" s="159"/>
      <c r="L39" s="159"/>
    </row>
    <row r="40">
      <c r="C40" s="8" t="inlineStr">
        <is>
          <t xml:space="preserve">Present value of FY'26–30 FCFE ($mm)</t>
        </is>
      </c>
      <c r="G40" s="624">
        <f>'OUT-DCF'!G39</f>
      </c>
    </row>
    <row r="41">
      <c r="C41" s="8" t="inlineStr">
        <is>
          <t xml:space="preserve">Terminal value needed to justify current price, in PV terms ($mm)</t>
        </is>
      </c>
      <c r="G41" s="632">
        <f>G11*G10-G40</f>
      </c>
    </row>
    <row r="42">
      <c r="C42" s="8" t="inlineStr">
        <is>
          <t xml:space="preserve">Helper: (1+g)/(k–g) implied by current price</t>
        </is>
      </c>
      <c r="G42" s="629">
        <f>G41*'OUT-DCF'!G49/'OUT-DCF'!G43</f>
      </c>
    </row>
    <row r="43">
      <c r="C43" s="614" t="inlineStr">
        <is>
          <t xml:space="preserve">Market-implied perpetuity growth at base k</t>
        </is>
      </c>
      <c r="G43" s="643">
        <f>(G42*G6-1)/(G42+1)</f>
      </c>
    </row>
    <row r="44">
      <c r="C44" s="8" t="inlineStr">
        <is>
          <t xml:space="preserve">Your perpetuity growth assumption</t>
        </is>
      </c>
      <c r="G44" s="628">
        <f>G7</f>
      </c>
    </row>
    <row r="46">
      <c r="B46" s="615" t="inlineStr">
        <is>
          <t xml:space="preserve">Reading the grid: cells shaded green are at or above the current price. The market-implied growth rate is the g that makes the DCF equal today's price at your base cost of equity; compare it with the 3.5% GDP-based assumption.</t>
        </is>
      </c>
    </row>
  </sheetData>
  <conditionalFormatting sqref="E20:K26">
    <cfRule type="expression" dxfId="2" priority="1">
      <formula>AND(ISNUMBER(E20),E20&gt;=$G$11)</formula>
    </cfRule>
  </conditionalFormatting>
  <conditionalFormatting sqref="E20:K26">
    <cfRule type="expression" dxfId="3" priority="2">
      <formula>AND(ISNUMBER(E20),E20&lt;$G$11)</formula>
    </cfRule>
  </conditionalFormatting>
  <conditionalFormatting sqref="E31:K37">
    <cfRule type="expression" dxfId="2" priority="3">
      <formula>AND(ISNUMBER(E31),E31&gt;=0)</formula>
    </cfRule>
  </conditionalFormatting>
  <conditionalFormatting sqref="E31:K37">
    <cfRule type="expression" dxfId="3" priority="4">
      <formula>AND(ISNUMBER(E31),E31&lt;0)</formula>
    </cfRule>
  </conditionalFormatting>
  <pageMargins left="0.5" right="0.5" top="0.75" bottom="0.75" header="0.3" footer="0.3"/>
  <pageSetup orientation="landscape" fitToHeight="0"/>
</worksheet>
</file>

<file path=xl/worksheets/sheet17.xml><?xml version="1.0" encoding="utf-8"?>
<worksheet xmlns="http://schemas.openxmlformats.org/spreadsheetml/2006/main" xmlns:r="http://schemas.openxmlformats.org/officeDocument/2006/relationships">
  <sheetPr>
    <tabColor theme="3"/>
  </sheetPr>
  <sheetViews>
    <sheetView showGridLines="0" workbookViewId="0"/>
  </sheetViews>
  <sheetFormatPr defaultRowHeight="12.75"/>
  <cols>
    <col min="1" max="1" width="2.6" customWidth="1"/>
    <col min="2" max="2" width="3" customWidth="1"/>
    <col min="3" max="3" width="40" customWidth="1"/>
    <col min="4" max="4" width="12" customWidth="1"/>
    <col min="5" max="5" width="12" customWidth="1"/>
    <col min="6" max="6" width="12" customWidth="1"/>
    <col min="7" max="7" width="13" customWidth="1"/>
    <col min="8" max="8" width="11" customWidth="1"/>
    <col min="9" max="9" width="3" customWidth="1"/>
  </cols>
  <sheetData>
    <row r="2">
      <c r="B2" s="611">
        <f>Assumptions!$B$2&amp;" – Trading Comps Cross-Check (P/E)"</f>
      </c>
    </row>
    <row r="3">
      <c r="B3" s="615" t="inlineStr">
        <is>
          <t xml:space="preserve">Peer multiples pull from the group's FactSet table on Comps &amp; Dil. Shares (same six peers as the Cost of Equity build). EPS comes from the model's net income forecast.</t>
        </is>
      </c>
    </row>
    <row r="5">
      <c r="B5" s="158" t="inlineStr">
        <is>
          <t xml:space="preserve">Peer Multiples</t>
        </is>
      </c>
      <c r="C5" s="159"/>
      <c r="D5" s="159"/>
      <c r="E5" s="159"/>
      <c r="F5" s="159"/>
      <c r="G5" s="159"/>
      <c r="H5" s="159"/>
    </row>
    <row r="6">
      <c r="C6" s="613" t="inlineStr">
        <is>
          <t xml:space="preserve">Company</t>
        </is>
      </c>
      <c r="D6" s="164" t="inlineStr">
        <is>
          <t xml:space="preserve">Ticker</t>
        </is>
      </c>
      <c r="E6" s="164" t="inlineStr">
        <is>
          <t xml:space="preserve">NTM P/E</t>
        </is>
      </c>
      <c r="F6" s="164" t="inlineStr">
        <is>
          <t xml:space="preserve">CY1 P/E</t>
        </is>
      </c>
      <c r="G6" s="164" t="inlineStr">
        <is>
          <t xml:space="preserve">Market Value ($mm)</t>
        </is>
      </c>
    </row>
    <row r="7">
      <c r="C7" s="623">
        <f>'Comps &amp; Dil. Shares'!B7</f>
      </c>
      <c r="D7" s="623">
        <f>'Comps &amp; Dil. Shares'!E7</f>
      </c>
      <c r="E7" s="622">
        <f>INDEX('Comps &amp; Dil. Shares'!$G$17:$G$33,MATCH($D7&amp;"-US",'Comps &amp; Dil. Shares'!$E$17:$E$33,0))</f>
      </c>
      <c r="F7" s="622">
        <f>INDEX('Comps &amp; Dil. Shares'!$H$17:$H$33,MATCH($D7&amp;"-US",'Comps &amp; Dil. Shares'!$E$17:$E$33,0))</f>
      </c>
      <c r="G7" s="624">
        <f>INDEX('Comps &amp; Dil. Shares'!$J$17:$J$33,MATCH($D7&amp;"-US",'Comps &amp; Dil. Shares'!$E$17:$E$33,0))</f>
      </c>
    </row>
    <row r="8">
      <c r="C8" s="623">
        <f>'Comps &amp; Dil. Shares'!B8</f>
      </c>
      <c r="D8" s="623">
        <f>'Comps &amp; Dil. Shares'!E8</f>
      </c>
      <c r="E8" s="622">
        <f>INDEX('Comps &amp; Dil. Shares'!$G$17:$G$33,MATCH($D8&amp;"-US",'Comps &amp; Dil. Shares'!$E$17:$E$33,0))</f>
      </c>
      <c r="F8" s="622">
        <f>INDEX('Comps &amp; Dil. Shares'!$H$17:$H$33,MATCH($D8&amp;"-US",'Comps &amp; Dil. Shares'!$E$17:$E$33,0))</f>
      </c>
      <c r="G8" s="624">
        <f>INDEX('Comps &amp; Dil. Shares'!$J$17:$J$33,MATCH($D8&amp;"-US",'Comps &amp; Dil. Shares'!$E$17:$E$33,0))</f>
      </c>
    </row>
    <row r="9">
      <c r="C9" s="623">
        <f>'Comps &amp; Dil. Shares'!B9</f>
      </c>
      <c r="D9" s="623">
        <f>'Comps &amp; Dil. Shares'!E9</f>
      </c>
      <c r="E9" s="622">
        <f>INDEX('Comps &amp; Dil. Shares'!$G$17:$G$33,MATCH($D9&amp;"-US",'Comps &amp; Dil. Shares'!$E$17:$E$33,0))</f>
      </c>
      <c r="F9" s="622">
        <f>INDEX('Comps &amp; Dil. Shares'!$H$17:$H$33,MATCH($D9&amp;"-US",'Comps &amp; Dil. Shares'!$E$17:$E$33,0))</f>
      </c>
      <c r="G9" s="624">
        <f>INDEX('Comps &amp; Dil. Shares'!$J$17:$J$33,MATCH($D9&amp;"-US",'Comps &amp; Dil. Shares'!$E$17:$E$33,0))</f>
      </c>
    </row>
    <row r="10">
      <c r="C10" s="623">
        <f>'Comps &amp; Dil. Shares'!B10</f>
      </c>
      <c r="D10" s="623">
        <f>'Comps &amp; Dil. Shares'!E10</f>
      </c>
      <c r="E10" s="622">
        <f>INDEX('Comps &amp; Dil. Shares'!$G$17:$G$33,MATCH($D10&amp;"-US",'Comps &amp; Dil. Shares'!$E$17:$E$33,0))</f>
      </c>
      <c r="F10" s="622">
        <f>INDEX('Comps &amp; Dil. Shares'!$H$17:$H$33,MATCH($D10&amp;"-US",'Comps &amp; Dil. Shares'!$E$17:$E$33,0))</f>
      </c>
      <c r="G10" s="624">
        <f>INDEX('Comps &amp; Dil. Shares'!$J$17:$J$33,MATCH($D10&amp;"-US",'Comps &amp; Dil. Shares'!$E$17:$E$33,0))</f>
      </c>
    </row>
    <row r="11">
      <c r="C11" s="623">
        <f>'Comps &amp; Dil. Shares'!B11</f>
      </c>
      <c r="D11" s="623">
        <f>'Comps &amp; Dil. Shares'!E11</f>
      </c>
      <c r="E11" s="622">
        <f>INDEX('Comps &amp; Dil. Shares'!$G$17:$G$33,MATCH($D11&amp;"-US",'Comps &amp; Dil. Shares'!$E$17:$E$33,0))</f>
      </c>
      <c r="F11" s="622">
        <f>INDEX('Comps &amp; Dil. Shares'!$H$17:$H$33,MATCH($D11&amp;"-US",'Comps &amp; Dil. Shares'!$E$17:$E$33,0))</f>
      </c>
      <c r="G11" s="624">
        <f>INDEX('Comps &amp; Dil. Shares'!$J$17:$J$33,MATCH($D11&amp;"-US",'Comps &amp; Dil. Shares'!$E$17:$E$33,0))</f>
      </c>
    </row>
    <row r="12">
      <c r="C12" s="623">
        <f>'Comps &amp; Dil. Shares'!B12</f>
      </c>
      <c r="D12" s="623">
        <f>'Comps &amp; Dil. Shares'!E12</f>
      </c>
      <c r="E12" s="622">
        <f>INDEX('Comps &amp; Dil. Shares'!$G$17:$G$33,MATCH($D12&amp;"-US",'Comps &amp; Dil. Shares'!$E$17:$E$33,0))</f>
      </c>
      <c r="F12" s="622">
        <f>INDEX('Comps &amp; Dil. Shares'!$H$17:$H$33,MATCH($D12&amp;"-US",'Comps &amp; Dil. Shares'!$E$17:$E$33,0))</f>
      </c>
      <c r="G12" s="624">
        <f>INDEX('Comps &amp; Dil. Shares'!$J$17:$J$33,MATCH($D12&amp;"-US",'Comps &amp; Dil. Shares'!$E$17:$E$33,0))</f>
      </c>
    </row>
    <row r="14">
      <c r="C14" s="8" t="inlineStr">
        <is>
          <t xml:space="preserve">High</t>
        </is>
      </c>
      <c r="E14" s="630">
        <f>MAX(E$7:E$12)</f>
      </c>
      <c r="F14" s="630">
        <f>MAX(F$7:F$12)</f>
      </c>
    </row>
    <row r="15">
      <c r="C15" s="8" t="inlineStr">
        <is>
          <t xml:space="preserve">75th percentile</t>
        </is>
      </c>
      <c r="E15" s="630">
        <f>QUARTILE(E$7:E$12,3)</f>
      </c>
      <c r="F15" s="630">
        <f>QUARTILE(F$7:F$12,3)</f>
      </c>
    </row>
    <row r="16">
      <c r="C16" s="8" t="inlineStr">
        <is>
          <t xml:space="preserve">Mean</t>
        </is>
      </c>
      <c r="E16" s="630">
        <f>AVERAGE(E$7:E$12)</f>
      </c>
      <c r="F16" s="630">
        <f>AVERAGE(F$7:F$12)</f>
      </c>
    </row>
    <row r="17">
      <c r="C17" s="614" t="inlineStr">
        <is>
          <t xml:space="preserve">Median</t>
        </is>
      </c>
      <c r="E17" s="634">
        <f>MEDIAN(E$7:E$12)</f>
      </c>
      <c r="F17" s="634">
        <f>MEDIAN(F$7:F$12)</f>
      </c>
    </row>
    <row r="18">
      <c r="C18" s="8" t="inlineStr">
        <is>
          <t xml:space="preserve">25th percentile</t>
        </is>
      </c>
      <c r="E18" s="630">
        <f>QUARTILE(E$7:E$12,1)</f>
      </c>
      <c r="F18" s="630">
        <f>QUARTILE(F$7:F$12,1)</f>
      </c>
    </row>
    <row r="19">
      <c r="C19" s="8" t="inlineStr">
        <is>
          <t xml:space="preserve">Low</t>
        </is>
      </c>
      <c r="E19" s="630">
        <f>MIN(E$7:E$12)</f>
      </c>
      <c r="F19" s="630">
        <f>MIN(F$7:F$12)</f>
      </c>
    </row>
    <row r="21">
      <c r="C21" s="641" t="inlineStr">
        <is>
          <t xml:space="preserve">A10 Networks (FactSet, at comps date)</t>
        </is>
      </c>
      <c r="D21" s="641" t="inlineStr">
        <is>
          <t xml:space="preserve">ATEN</t>
        </is>
      </c>
      <c r="E21" s="644">
        <f>'Comps &amp; Dil. Shares'!G17</f>
      </c>
      <c r="F21" s="644">
        <f>'Comps &amp; Dil. Shares'!H17</f>
      </c>
      <c r="G21" s="642">
        <f>'Comps &amp; Dil. Shares'!J17</f>
      </c>
    </row>
    <row r="22">
      <c r="C22" s="615" t="inlineStr">
        <is>
          <t xml:space="preserve">FactSet market value differs from the model's $24.39 price because the comps pull is from a different date.</t>
        </is>
      </c>
    </row>
    <row r="24">
      <c r="B24" s="158" t="inlineStr">
        <is>
          <t xml:space="preserve">A10 Earnings per Share (from the model)</t>
        </is>
      </c>
      <c r="C24" s="159"/>
      <c r="D24" s="159"/>
      <c r="E24" s="159"/>
      <c r="F24" s="159"/>
      <c r="G24" s="159"/>
      <c r="H24" s="159"/>
    </row>
    <row r="25">
      <c r="C25" s="8" t="inlineStr">
        <is>
          <t xml:space="preserve">FY'26E net income ($mm)</t>
        </is>
      </c>
      <c r="G25" s="624">
        <f>'OUT-DCF'!H19</f>
      </c>
    </row>
    <row r="26">
      <c r="C26" s="8" t="inlineStr">
        <is>
          <t xml:space="preserve">FY'27E net income ($mm)</t>
        </is>
      </c>
      <c r="G26" s="624">
        <f>'OUT-DCF'!I19</f>
      </c>
    </row>
    <row r="27">
      <c r="C27" s="8" t="inlineStr">
        <is>
          <t xml:space="preserve">Fully diluted shares (mm)</t>
        </is>
      </c>
      <c r="G27" s="620">
        <f>'OUT-DCF'!G53</f>
      </c>
    </row>
    <row r="28">
      <c r="C28" s="8" t="inlineStr">
        <is>
          <t xml:space="preserve">FY'26E EPS (= CY1)</t>
        </is>
      </c>
      <c r="G28" s="626">
        <f>G25/G27</f>
      </c>
    </row>
    <row r="29">
      <c r="C29" s="8" t="inlineStr">
        <is>
          <t xml:space="preserve">FY'27E EPS</t>
        </is>
      </c>
      <c r="G29" s="626">
        <f>G26/G27</f>
      </c>
    </row>
    <row r="30">
      <c r="C30" s="8" t="inlineStr">
        <is>
          <t xml:space="preserve">Share of FY'26 remaining (stub, from OUT-DCF)</t>
        </is>
      </c>
      <c r="G30" s="618">
        <f>'OUT-DCF'!Q36</f>
      </c>
    </row>
    <row r="31">
      <c r="C31" s="641" t="inlineStr">
        <is>
          <t xml:space="preserve">NTM EPS (stub-weighted FY'26 / FY'27)</t>
        </is>
      </c>
      <c r="D31" s="641"/>
      <c r="E31" s="641"/>
      <c r="F31" s="641"/>
      <c r="G31" s="642">
        <f>G30*G28+(1-G30)*G29</f>
      </c>
    </row>
    <row r="32">
      <c r="C32" s="8" t="inlineStr">
        <is>
          <t xml:space="preserve">A10 EPS implied by FactSet (for a like-for-like basis): market value ÷ basic shares ÷ P/E</t>
        </is>
      </c>
    </row>
    <row r="33">
      <c r="C33" s="8" t="inlineStr">
        <is>
          <t xml:space="preserve">   NTM EPS implied by FactSet (consensus basis)</t>
        </is>
      </c>
      <c r="G33" s="626">
        <f>('Comps &amp; Dil. Shares'!J17/Assumptions!D38)/'Comps &amp; Dil. Shares'!G17</f>
      </c>
    </row>
    <row r="34">
      <c r="C34" s="8" t="inlineStr">
        <is>
          <t xml:space="preserve">   CY1 EPS implied by FactSet (consensus basis)</t>
        </is>
      </c>
      <c r="G34" s="626">
        <f>('Comps &amp; Dil. Shares'!J17/Assumptions!D38)/'Comps &amp; Dil. Shares'!H17</f>
      </c>
    </row>
    <row r="35">
      <c r="C35" s="614" t="inlineStr">
        <is>
          <t xml:space="preserve">   Model NTM EPS as % of FactSet NTM EPS</t>
        </is>
      </c>
      <c r="G35" s="627">
        <f>G31/G33</f>
      </c>
    </row>
    <row r="37">
      <c r="B37" s="158" t="inlineStr">
        <is>
          <t xml:space="preserve">Implied Share Price</t>
        </is>
      </c>
      <c r="C37" s="159"/>
      <c r="D37" s="159"/>
      <c r="E37" s="159"/>
      <c r="F37" s="159"/>
      <c r="G37" s="159"/>
      <c r="H37" s="159"/>
    </row>
    <row r="38">
      <c r="C38" s="613" t="inlineStr">
        <is>
          <t xml:space="preserve">Peer multiple applied</t>
        </is>
      </c>
      <c r="D38" s="612" t="inlineStr">
        <is>
          <t xml:space="preserve">NTM P/E × model EPS</t>
        </is>
      </c>
      <c r="E38" s="612" t="inlineStr">
        <is>
          <t xml:space="preserve">CY1 P/E × model EPS</t>
        </is>
      </c>
      <c r="F38" s="612" t="inlineStr">
        <is>
          <t xml:space="preserve">NTM P/E × FactSet EPS</t>
        </is>
      </c>
      <c r="G38" s="612" t="inlineStr">
        <is>
          <t xml:space="preserve">Upside (FactSet basis)</t>
        </is>
      </c>
    </row>
    <row r="39">
      <c r="C39" s="8" t="inlineStr">
        <is>
          <t xml:space="preserve">High</t>
        </is>
      </c>
      <c r="D39" s="626">
        <f>E14*$G$31</f>
      </c>
      <c r="E39" s="626">
        <f>F14*$G$28</f>
      </c>
      <c r="F39" s="626">
        <f>E14*$G$33</f>
      </c>
      <c r="G39" s="631">
        <f>F39/Assumptions!$D$10-1</f>
      </c>
    </row>
    <row r="40">
      <c r="C40" s="8" t="inlineStr">
        <is>
          <t xml:space="preserve">75th percentile</t>
        </is>
      </c>
      <c r="D40" s="626">
        <f>E15*$G$31</f>
      </c>
      <c r="E40" s="626">
        <f>F15*$G$28</f>
      </c>
      <c r="F40" s="626">
        <f>E15*$G$33</f>
      </c>
      <c r="G40" s="631">
        <f>F40/Assumptions!$D$10-1</f>
      </c>
    </row>
    <row r="41">
      <c r="C41" s="8" t="inlineStr">
        <is>
          <t xml:space="preserve">Mean</t>
        </is>
      </c>
      <c r="D41" s="626">
        <f>E16*$G$31</f>
      </c>
      <c r="E41" s="626">
        <f>F16*$G$28</f>
      </c>
      <c r="F41" s="626">
        <f>E16*$G$33</f>
      </c>
      <c r="G41" s="631">
        <f>F41/Assumptions!$D$10-1</f>
      </c>
    </row>
    <row r="42">
      <c r="C42" s="614" t="inlineStr">
        <is>
          <t xml:space="preserve">Median</t>
        </is>
      </c>
      <c r="D42" s="633">
        <f>E17*$G$31</f>
      </c>
      <c r="E42" s="633">
        <f>F17*$G$28</f>
      </c>
      <c r="F42" s="633">
        <f>E17*$G$33</f>
      </c>
      <c r="G42" s="635">
        <f>F42/Assumptions!$D$10-1</f>
      </c>
    </row>
    <row r="43">
      <c r="C43" s="8" t="inlineStr">
        <is>
          <t xml:space="preserve">25th percentile</t>
        </is>
      </c>
      <c r="D43" s="626">
        <f>E18*$G$31</f>
      </c>
      <c r="E43" s="626">
        <f>F18*$G$28</f>
      </c>
      <c r="F43" s="626">
        <f>E18*$G$33</f>
      </c>
      <c r="G43" s="631">
        <f>F43/Assumptions!$D$10-1</f>
      </c>
    </row>
    <row r="44">
      <c r="C44" s="8" t="inlineStr">
        <is>
          <t xml:space="preserve">Low</t>
        </is>
      </c>
      <c r="D44" s="626">
        <f>E19*$G$31</f>
      </c>
      <c r="E44" s="626">
        <f>F19*$G$28</f>
      </c>
      <c r="F44" s="626">
        <f>E19*$G$33</f>
      </c>
      <c r="G44" s="631">
        <f>F44/Assumptions!$D$10-1</f>
      </c>
    </row>
    <row r="46" ht="36" customHeight="1">
      <c r="B46" s="616" t="inlineStr">
        <is>
          <t xml:space="preserve">Why two bases: FactSet P/E multiples are built on consensus (typically adjusted, non-GAAP) EPS, while the model's EPS is GAAP net income. Multiplying a consensus-basis P/E by GAAP EPS understates value, so the FactSet-EPS column is the like-for-like read.</t>
        </is>
      </c>
    </row>
    <row r="48">
      <c r="B48" s="158" t="inlineStr">
        <is>
          <t xml:space="preserve">Cross-Check Against the DCF</t>
        </is>
      </c>
      <c r="C48" s="159"/>
      <c r="D48" s="159"/>
      <c r="E48" s="159"/>
      <c r="F48" s="159"/>
      <c r="G48" s="159"/>
      <c r="H48" s="159"/>
    </row>
    <row r="49">
      <c r="C49" s="8" t="inlineStr">
        <is>
          <t xml:space="preserve">Current share price</t>
        </is>
      </c>
      <c r="G49" s="619">
        <f>Assumptions!D10</f>
      </c>
    </row>
    <row r="50">
      <c r="C50" s="8" t="inlineStr">
        <is>
          <t xml:space="preserve">DCF implied share price (OUT-DCF)</t>
        </is>
      </c>
      <c r="G50" s="619">
        <f>'OUT-DCF'!G54</f>
      </c>
    </row>
    <row r="51">
      <c r="C51" s="614" t="inlineStr">
        <is>
          <t xml:space="preserve">DCF price ÷ FactSet NTM EPS (P/E the DCF implies)</t>
        </is>
      </c>
      <c r="G51" s="634">
        <f>G50/G33</f>
      </c>
    </row>
    <row r="52">
      <c r="C52" s="8" t="inlineStr">
        <is>
          <t xml:space="preserve">Peer median NTM P/E</t>
        </is>
      </c>
      <c r="G52" s="630">
        <f>E17</f>
      </c>
    </row>
    <row r="53">
      <c r="C53" s="614" t="inlineStr">
        <is>
          <t xml:space="preserve">DCF-implied P/E premium / (discount) to peer median</t>
        </is>
      </c>
      <c r="G53" s="635">
        <f>G51/G52-1</f>
      </c>
    </row>
    <row r="54">
      <c r="C54" s="8" t="inlineStr">
        <is>
          <t xml:space="preserve">DCF price ÷ model NTM EPS (GAAP basis)</t>
        </is>
      </c>
      <c r="G54" s="630">
        <f>G50/G31</f>
      </c>
    </row>
  </sheetData>
  <mergeCells count="1">
    <mergeCell ref="B46:H46"/>
  </mergeCells>
  <conditionalFormatting sqref="G39:G44">
    <cfRule type="expression" dxfId="2" priority="1">
      <formula>AND(ISNUMBER(G39),G39&gt;=0)</formula>
    </cfRule>
  </conditionalFormatting>
  <conditionalFormatting sqref="G39:G44">
    <cfRule type="expression" dxfId="3" priority="2">
      <formula>AND(ISNUMBER(G39),G39&lt;0)</formula>
    </cfRule>
  </conditionalFormatting>
  <pageMargins left="0.5" right="0.5" top="0.75" bottom="0.75" header="0.3" footer="0.3"/>
  <pageSetup orientation="landscape" fitToHeight="0"/>
</worksheet>
</file>

<file path=xl/worksheets/sheet18.xml><?xml version="1.0" encoding="utf-8"?>
<worksheet xmlns="http://schemas.openxmlformats.org/spreadsheetml/2006/main" xmlns:r="http://schemas.openxmlformats.org/officeDocument/2006/relationships">
  <sheetPr>
    <tabColor theme="3"/>
  </sheetPr>
  <sheetViews>
    <sheetView showGridLines="0" workbookViewId="0"/>
  </sheetViews>
  <sheetFormatPr defaultRowHeight="12.75"/>
  <cols>
    <col min="1" max="1" width="2.6" customWidth="1"/>
    <col min="2" max="2" width="3" customWidth="1"/>
    <col min="3" max="3" width="40" customWidth="1"/>
    <col min="4" max="4" width="11" customWidth="1"/>
    <col min="5" max="5" width="11" customWidth="1"/>
    <col min="6" max="6" width="11" customWidth="1"/>
    <col min="7" max="7" width="11" customWidth="1"/>
    <col min="8" max="8" width="34" customWidth="1"/>
    <col min="9" max="9" width="3" customWidth="1"/>
  </cols>
  <sheetData>
    <row r="2">
      <c r="B2" s="611">
        <f>Assumptions!$B$2&amp;" – Valuation Summary"</f>
      </c>
    </row>
    <row r="3">
      <c r="B3" s="615" t="inlineStr">
        <is>
          <t xml:space="preserve">Pulls every range from the tabs it names. Chart columns: Low and Spread (High – Low) drive the floating bars.</t>
        </is>
      </c>
    </row>
    <row r="5">
      <c r="B5" s="158" t="inlineStr">
        <is>
          <t xml:space="preserve">Price Target Summary</t>
        </is>
      </c>
      <c r="C5" s="159"/>
      <c r="D5" s="159"/>
      <c r="E5" s="159"/>
      <c r="F5" s="159"/>
      <c r="G5" s="159"/>
      <c r="H5" s="159"/>
    </row>
    <row r="6">
      <c r="C6" s="8" t="inlineStr">
        <is>
          <t xml:space="preserve">Current share price</t>
        </is>
      </c>
      <c r="G6" s="619">
        <f>Assumptions!D10</f>
      </c>
    </row>
    <row r="7">
      <c r="C7" s="8" t="inlineStr">
        <is>
          <t xml:space="preserve">DCF price target (base case, OUT-DCF)</t>
        </is>
      </c>
      <c r="G7" s="619">
        <f>'OUT-DCF'!G54</f>
      </c>
    </row>
    <row r="8">
      <c r="C8" s="641" t="inlineStr">
        <is>
          <t xml:space="preserve">Upside / (downside)</t>
        </is>
      </c>
      <c r="D8" s="641"/>
      <c r="E8" s="641"/>
      <c r="F8" s="641"/>
      <c r="G8" s="643">
        <f>G7/G6-1</f>
      </c>
    </row>
    <row r="9">
      <c r="C9" s="8" t="inlineStr">
        <is>
          <t xml:space="preserve">Peer median NTM P/E × FactSet EPS</t>
        </is>
      </c>
      <c r="G9" s="619">
        <f>'Comps Valuation'!F42</f>
      </c>
    </row>
    <row r="10">
      <c r="C10" s="8" t="inlineStr">
        <is>
          <t xml:space="preserve">Market-implied perpetuity growth at current price</t>
        </is>
      </c>
      <c r="G10" s="617">
        <f>'DCF Sensitivity'!G43</f>
      </c>
    </row>
    <row r="12">
      <c r="B12" s="158" t="inlineStr">
        <is>
          <t xml:space="preserve">Football Field ($ per share)</t>
        </is>
      </c>
      <c r="C12" s="159"/>
      <c r="D12" s="159"/>
      <c r="E12" s="159"/>
      <c r="F12" s="159"/>
      <c r="G12" s="159"/>
      <c r="H12" s="159"/>
    </row>
    <row r="13">
      <c r="C13" s="613" t="inlineStr">
        <is>
          <t xml:space="preserve">Method</t>
        </is>
      </c>
      <c r="D13" s="164" t="inlineStr">
        <is>
          <t xml:space="preserve">Low</t>
        </is>
      </c>
      <c r="E13" s="164" t="inlineStr">
        <is>
          <t xml:space="preserve">High</t>
        </is>
      </c>
      <c r="F13" s="164" t="inlineStr">
        <is>
          <t xml:space="preserve">Midpoint</t>
        </is>
      </c>
      <c r="G13" s="164" t="inlineStr">
        <is>
          <t xml:space="preserve">Spread</t>
        </is>
      </c>
      <c r="H13" s="613" t="inlineStr">
        <is>
          <t xml:space="preserve">Basis</t>
        </is>
      </c>
    </row>
    <row r="14">
      <c r="C14" s="8" t="inlineStr">
        <is>
          <t xml:space="preserve">52-week trading range</t>
        </is>
      </c>
      <c r="D14" s="626">
        <f>MIN('Price History'!$B$4:$B$255)</f>
      </c>
      <c r="E14" s="626">
        <f>MAX('Price History'!$B$4:$B$255)</f>
      </c>
      <c r="F14" s="626">
        <f>AVERAGE(D14:E14)</f>
      </c>
      <c r="G14" s="626">
        <f>E14-D14</f>
      </c>
      <c r="H14" s="615" t="inlineStr">
        <is>
          <t xml:space="preserve">Daily closes, Price History tab</t>
        </is>
      </c>
    </row>
    <row r="15">
      <c r="C15" s="8" t="inlineStr">
        <is>
          <t xml:space="preserve">Peer NTM P/E × FactSet EPS (25th–75th pct.)</t>
        </is>
      </c>
      <c r="D15" s="626">
        <f>'Comps Valuation'!F43</f>
      </c>
      <c r="E15" s="626">
        <f>'Comps Valuation'!F40</f>
      </c>
      <c r="F15" s="626">
        <f>AVERAGE(D15:E15)</f>
      </c>
      <c r="G15" s="626">
        <f>E15-D15</f>
      </c>
      <c r="H15" s="615" t="inlineStr">
        <is>
          <t xml:space="preserve">Like-for-like: consensus-basis P/E × consensus-basis EPS</t>
        </is>
      </c>
    </row>
    <row r="16">
      <c r="C16" s="8" t="inlineStr">
        <is>
          <t xml:space="preserve">Peer NTM P/E × model EPS (25th–75th pct.)</t>
        </is>
      </c>
      <c r="D16" s="626">
        <f>'Comps Valuation'!D43</f>
      </c>
      <c r="E16" s="626">
        <f>'Comps Valuation'!D40</f>
      </c>
      <c r="F16" s="626">
        <f>AVERAGE(D16:E16)</f>
      </c>
      <c r="G16" s="626">
        <f>E16-D16</f>
      </c>
      <c r="H16" s="615" t="inlineStr">
        <is>
          <t xml:space="preserve">Consensus P/E × GAAP model EPS; understates value</t>
        </is>
      </c>
    </row>
    <row r="17">
      <c r="C17" s="8" t="inlineStr">
        <is>
          <t xml:space="preserve">DCF – k ±1 step, g ±1 step</t>
        </is>
      </c>
      <c r="D17" s="626">
        <f>MIN('DCF Sensitivity'!G22:I24)</f>
      </c>
      <c r="E17" s="626">
        <f>MAX('DCF Sensitivity'!G22:I24)</f>
      </c>
      <c r="F17" s="626">
        <f>AVERAGE(D17:E17)</f>
      </c>
      <c r="G17" s="626">
        <f>E17-D17</f>
      </c>
      <c r="H17" s="615" t="inlineStr">
        <is>
          <t xml:space="preserve">Center 3×3 of the DCF Sensitivity grid</t>
        </is>
      </c>
    </row>
    <row r="18">
      <c r="C18" s="8" t="inlineStr">
        <is>
          <t xml:space="preserve">DCF – Conservative to Bullish scenario</t>
        </is>
      </c>
      <c r="D18" s="626">
        <f>MIN('OUT-DCF'!W47,'OUT-DCF'!X47)</f>
      </c>
      <c r="E18" s="626">
        <f>MAX('OUT-DCF'!W47,'OUT-DCF'!X47)</f>
      </c>
      <c r="F18" s="626">
        <f>AVERAGE(D18:E18)</f>
      </c>
      <c r="G18" s="626">
        <f>E18-D18</f>
      </c>
      <c r="H18" s="615" t="inlineStr">
        <is>
          <t xml:space="preserve">Scenario Comparison on OUT-DCF</t>
        </is>
      </c>
    </row>
    <row r="19">
      <c r="C19" s="8">
        <f>"Current share price ("&amp;TEXT(Assumptions!D10,"$0.00")&amp;")"</f>
      </c>
      <c r="D19" s="626">
        <f>Assumptions!D10-0.1</f>
      </c>
      <c r="E19" s="626">
        <f>Assumptions!D10+0.1</f>
      </c>
      <c r="F19" s="626">
        <f>AVERAGE(D19:E19)</f>
      </c>
      <c r="G19" s="626">
        <f>E19-D19</f>
      </c>
      <c r="H19" s="615" t="inlineStr">
        <is>
          <t xml:space="preserve">Marker only</t>
        </is>
      </c>
    </row>
    <row r="44">
      <c r="B44" s="158" t="inlineStr">
        <is>
          <t xml:space="preserve">Review Points for the Group (model not changed)</t>
        </is>
      </c>
      <c r="C44" s="159"/>
      <c r="D44" s="159"/>
      <c r="E44" s="159"/>
      <c r="F44" s="159"/>
      <c r="G44" s="159"/>
      <c r="H44" s="159"/>
    </row>
    <row r="45">
      <c r="C45" s="8" t="inlineStr">
        <is>
          <t xml:space="preserve">Cash &amp; marketable securities at Q2'26 ($mm)</t>
        </is>
      </c>
      <c r="G45" s="624">
        <f>'Historical Financials'!AA52+'Historical Financials'!AA53</f>
      </c>
    </row>
    <row r="46">
      <c r="C46" s="8" t="inlineStr">
        <is>
          <t xml:space="preserve">   per diluted share</t>
        </is>
      </c>
      <c r="G46" s="626">
        <f>G45/'OUT-DCF'!G53</f>
      </c>
    </row>
    <row r="47">
      <c r="C47" s="8" t="inlineStr">
        <is>
          <t xml:space="preserve">PV of FY'26 FCFE already elapsed at valuation date, per share</t>
        </is>
      </c>
      <c r="G47" s="626">
        <f>'OUT-DCF'!H39*(1-'OUT-DCF'!Q36)/'OUT-DCF'!G53</f>
      </c>
    </row>
    <row r="49" ht="36" customHeight="1">
      <c r="C49" s="616" t="inlineStr">
        <is>
          <t xml:space="preserve">1. Equity value on OUT-DCF is PV of FCFE only; A10's cash and marketable securities are not added. Some of their value shows up through interest income in FCFE, so decide as a group whether to add excess cash (and strip that interest income) or keep it as is.</t>
        </is>
      </c>
    </row>
    <row r="50" ht="36" customHeight="1">
      <c r="C50" s="616" t="inlineStr">
        <is>
          <t xml:space="preserve">2. The full FY'26 FCFE is discounted, but the valuation date is 9/10/2026 and about 69% of the year has passed. Pro-rating FY'26 by the stub would lower the price by the amount above.</t>
        </is>
      </c>
    </row>
    <row r="51" ht="36" customHeight="1">
      <c r="C51" s="616" t="inlineStr">
        <is>
          <t xml:space="preserve">3. Items 1 and 2 push in opposite directions, so the net effect on the target is smaller than either one alone.</t>
        </is>
      </c>
    </row>
  </sheetData>
  <mergeCells count="3">
    <mergeCell ref="C49:H49"/>
    <mergeCell ref="C50:H50"/>
    <mergeCell ref="C51:H51"/>
  </mergeCells>
  <pageMargins left="0.5" right="0.5" top="0.75" bottom="0.75" header="0.3" footer="0.3"/>
  <pageSetup orientation="landscape" fitToHeight="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dsFormulaCache xmlns="urn:fdsformulacache" version="2" timestamp="1739160878"><![CDATA[{"HES^FF_ENTRPR_VAL_EBITDA_OPER(ANN_R,-2AY)":7.77912834645669,"HES^P_SP_RATING":"B-","HES^FF_EBIT_OPER_INT_COVG(LTM_R,0)":10.0732673267327,"HES^FF_INT_EXP_NET(ANN_R,0)":487.0,"HES^FF_NET_DEBT(ANN_R,0)":6664.0,"HES^FG_TD_TO_EBITDA_OPER(0)":1.47319272258896,"HES^FF_TOT_DEBT_TCAP_STD(ANN_R,0)":53.8077036165834,"HES^FF_DIV_YLD(ANN,0)":1.05767874770836,"HES^FF_ROA(ANN_R,0)":9.93129590144516,"HES^FF_ROE(ANN_R,0)":29.6149770399152,"HES^FF_ROIC(ANN_R,0)":13.2591093117409,"EOG^FF_PE(ANN_R,0Y)":9.79868513629039,"EOG^FF_PE(ANN_R,-1AY)":11.1227977912175,"DVN^FF_ENTRPR_VAL_EBITDA_OPER(ANN_R,0Y)":4.72211525423729,"DVN^FF_ENTRPR_VAL_EBITDA_OPER(ANN_R,-2AY)":4.85619627507163,"EOG^P_SP_RATING":"B-","EOG^FF_EBIT_OPER_INT_COVG(LTM_R,0)":65.5767441860465,"EOG^FF_INT_EXP_NET(ANN_R,0)":179.0,"EOG^FF_NET_DEBT(ANN_R,0)":-14.0,"EOG^FG_TD_TO_EBITDA_OPER(0)":0.333912458667264,"EOG^FF_TOT_DEBT_TCAP_STD(ANN_R,0)":19.3838045352507,"EOG^FF_DIV_YLD(ANN,0)":6.85222359481161,"EOG^FF_ROA(ANN_R,0)":19.4932606429083,"EOG^FF_ROE(ANN_R,0)":33.0458485061437,"EOG^FF_ROIC(ANN_R,0)":27.2398539530965,"DVN^FF_PE(ANN_R,0Y)":6.7415607189829,"DVN^FF_PE(ANN_R,-1AY)":10.5256869772999,"COP^FF_ENTRPR_VAL_EBITDA_OPER(ANN_R,NOW)":6.4902266324269,"EOG^FF_ENTRPR_VAL_EBITDA_OPER(ANN_R,-1AY)":4.21085243512862,"DVN^P_SP_RATING":"B-","DVN^FF_EBIT_OPER_INT_COVG(LTM_R,0)":27.0864553314121,"DVN^FF_INT_EXP_NET(ANN_R,0)":347.0,"DVN^FF_NET_DEBT(ANN_R,0)":5264.0,"DVN^FG_TD_TO_EBITDA_OPER(0)":0.61985606200406,"DVN^FF_TOT_DEBT_TCAP_STD(ANN_R,0)":37.5622029633771,"DVN^FF_DIV_YLD(ANN,0)":5.99902454885385,"DVN^FF_ROA(ANN_R,0)":26.630313324096,"DVN^FF_ROE(ANN_R,0)":58.3288462479808,"DVN^FF_ROIC(ANN_R,0)":35.4547888958315,"COP^FF_PE(ANN_R,0Y)":8.10005628852675,"EOG^FF_EPS_DIL(ANN_R,-1AY)":13.2181,"DVN^FF_EBITDA_OPER(ANN_R,-1AY)":10838.0,"COP^FF_EPS_DIL(ANN_R,-1AY)":9.0588,"HES^FE_ESTIMATE(EPS,MEAN,ANN_ROLL,+1,NOW,,,'')":8.045405,"DVN^FF_LTD_TCAP(ANN_R,0)":36.0413754542913,"EOG^FE_ESTIMATE(EBITDA,MEAN,ANN_ROLL,+1,NOW,,,'')":12902.463,"DVN^FF_EPS_DIL(ANN_R,-1AY)":9.124,"EOG^FF_SALES(ANN_R,0)":23273.0,"EOG^FF_SALES_GR(ANN_R,0)":-21.4015535292131,"COP^FF_SALES_GR(ANN_R,0)":-2.33699045580234,"HES^FE_ESTIMATE(SALES,MEAN,ANN_ROLL,+1,NOW,,,'')":12258.486,"DVN^FE_ESTIMATE(SALES,MEAN,ANN_ROLL,+1,NOW,,,'')":15532.522,"COP^FF_DIV_YLD(ANN,0)":1.60169491525424,"COP^FF_ENTRPR_VAL(ANN_R,+1)":null,"COP^FF_EBIT_OPER(ANN_R,0)":12783.0,"COP^FE_ESTIMATE(EBITDA,MEAN,ANN_ROLL,+2,NOW,,,'')":29534.74,"DVN^FF_SALES(ANN_R,0)":15140.0,"EOG^FF_ENTRPR_VAL(ANN_R,0)":70156.8,"EOG^FF_NET_INC(ANN_R,0)":7594.0,"EOG^FF_LTD_TCAP(ANN_R,0)":14.2466733903764,"EOG^FF_EBIT_OPER(ANN_R,0)":8767.0,"EOG^FREF_MARKET_VALUE_COMPANY(0,,,,,0,,\"LEGACY\")":71149.9805908203,"DVN^FF_GROSS_INC(ANN_R,0)":5200.0,"HES^FREF_MARKET_VALUE_COMPANY(0,,,,,0,,\"LEGACY\")":44042.4242098834,"EOG^FE_ESTIMATE(EBITDA,MEAN,ANN_ROLL,+2,NOW,,,'')":12721.839,"COP^FREF_MARKET_VALUE_COMPANY(0,,,,,0,,\"LEGACY\")":127234.77226902,"DVN^FF_EBIT_OPER(ANN_R,0)":4792.0,"DVN^FE_ESTIMATE(EPS,MEAN,ANN_ROLL,+1,NOW,,,'')":4.707563,"DVN^FREF_MARKET_VALUE_COMPANY(0,,,,,0,,\"LEGACY\")":21776.2368116761,"COP^FF_GROSS_INC(ANN_R,0)":16028.0,"COP^FF_SALES(ANN_R,0)":54745.0,"COP^FF_NET_INC(ANN_R,0)":9245.0,"DVN^FF_NET_INC(ANN_R,0)":3747.0,"HES^FF_GROSS_INC(ANN_R,0)":5268.0,"HES^FF_LTD_TCAP(ANN_R,0)":52.4904439870626,"HES^FF_EBITDA_OPER(ANN_R,-1AY)":5359.0,"HES^FG_PRICE(0)":138.95,"EOG^FG_PRICE(0)":114.26,"DVN^FG_PRICE(0)":55.0,"COP^FG_PRICE(0)":105.25,"DVN^FG_COMPANY_NAME":"Devon Energy Corporation","COP^FG_COMPANY_NAME":"ConocoPhillips","DVN^FF_ENTRPR_VAL(ANN_R,0)":34846.6,"HES^FG_COMPANY_NAME":"Hess Corporation","EOG^FG_COMPANY_NAME":"EOG Resources, Inc.","COP^FF_PE(ANN_R,-1AY)":11.8660507323809,"HES^FF_ENTRPR_VAL_EBITDA_OPER(ANN_R,0Y)":9.7151737264415,"EOG^FF_ENTRPR_VAL_EBITDA_OPER(ANN_R,-2AY)":4.56786237318041,"COP^P_SP_RATING":"B-","COP^FF_EBIT_OPER_INT_COVG(LTM_R,0)":24.2521327014218,"COP^FF_INT_EXP_NET(ANN_R,0)":1055.0,"COP^FF_EPS(ANN_R, 0AY)":14.5678,"COP^FF_NET_DEBT(ANN_R,0)":7945.0,"COP^FG_TD_TO_EBITDA_OPER(0)":0.51330446468568,"COP^FF_TOT_DEBT_TCAP_STD(ANN_R,0)":26.3656026138577,"COP^FF_ROA(ANN_R,0)":20.1853759011329,"COP^FF_ROE(ANN_R,0)":39.8676787033369,"DVN^FF_EPS(ANN_R, 0AY)":9.124,"COP^FF_ROIC(ANN_R,0)":28.8150543957659,"HES^FF_SALES_GR(ANN_R,0)":20.5121016727409,"DVN^FF_EPS_DIL(ANN_R, 0AY)":5.8364,"HES^FF_NET_INC(ANN_R,0)":2769.0,"HES^FE_ESTIMATE(EBITDA,MEAN,ANN_ROLL,+1,NOW,,,'')":6850.7236,"EOG^FF_EPS(ANN_R, 0AY)":13.2181,"HES^FF_EBITDA_OPER(ANN_R,0)":7263.0,"EOG^FE_ESTIMATE(SALES,MEAN,ANN_ROLL,+1,NOW,,,'')":23715.854,"COP^FE_ESTIMATE(SALES,MEAN,ANN_ROLL,+1,NOW,,,'')":63884.777,"HES^FF_EPS_DIL(ANN_R, 0AY)":8.9815,"HES^FF_EPS_DIL(ANN_R,-1AY)":4.4928,"HES^FF_EPS(ANN_R, 0AY)":6.77,"EOG^FE_ESTIMATE(EPS,MEAN,ANN_ROLL,+1,NOW,,,'')":11.509887,"EOG^FF_EBITDA_OPER(ANN_R,-1AY)":17843.0,"DVN^FF_SALES_GR(ANN_R,0)":-23.6394815151057,"COP^FF_ENTRPR_VAL(ANN_R,0)":135316.97707,"COP^FF_LTD_TCAP(ANN_R,0)":25.4881808838643,"HES^FF_SALES(ANN_R,0)":12896.0,"HES^FE_ESTIMATE(EBITDA,MEAN,ANN_ROLL,+2,NOW,,,'')":8573.0,"EOG^FF_EPS_DIL(ANN_R, 0AY)":13.0034,"DVN^FE_ESTIMATE(EBITDA,MEAN,ANN_ROLL,+1,NOW,,,'')":7522.959,"EOG^FF_GROSS_INC(ANN_R,0)":10691.0,"COP^FE_ESTIMATE(EPS,MEAN,ANN_ROLL,+1,NOW,,,'')":8.224197,"COP^FF_EPS_DIL(ANN_R, 0AY)":7.81,"HES^FF_EBIT_OPER(ANN_R,0)":4776.0,"HES^FF_ENTRPR_VAL(ANN_R,0)":50082.983,"COP^FF_EPS_DIL(ANN_R,0)":14.5678,"^FF_ENTRPR_VAL(ANN_R,0)":null,"COP^FE_ESTIMATE(EPSRD,MEAN,ANN_ROLL,+1,NOW,,,'')":null,"COP^FF_EBITDA_OPER(ANN_R,-1AY)":23462.0,"EOG^FF_ENTRPR_VAL_EBITDA_OPER(ANN_R,0Y)":5.58383528461849,"HES^FF_PE(ANN_R,-1AY)":40.9616555082167,"HES^FF_PE(ANN_R,0Y)":20.9483013293944,"HES^FF_ENTRPR_VAL_EBITDA_OPER(ANN_R,-1AY)":8.1377349863146,"DVN^FF_ENTRPR_VAL_EBITDA_OPER(ANN_R,-1AY)":4.20170049824691,"COP^FF_ENTRPR_VAL_EBITDA_OPER(ANN_R,-1AY)":4.72519737195759,"COP^FF_ENTRPR_VAL_EBITDA_OPER(ANN_R,0Y)":6.4902266324269,"COP^FF_ENTRPR_VAL(QTR,0,,,,,,'')":138122.69471,"COP^FF_ENTRPR_VAL(QTR,NOW,,,,,,'')":138122.69471,"DVN^FF_ENTRPR_VAL(QTR,NOW,,,,,,'')":null,"DVN^FF_ENTRPR_VAL(QTR,0,,,,,,'')":33165.76,"EOG^FF_ENTRPR_VAL(QTR,0,,,,,,'')":67816.24,"EOG^FF_ENTRPR_VAL(QTR,NOW,,,,,,'')":null,"DVN^FF_ENTRPR_VAL(ANN,NOW,,,,,,'')":null,"EOG^FF_ENTRPR_VAL(ANN,NOW,,,,,,'')":null,"DVN^FF_ENTRPR_VAL(ANN,0,,,,,,'')":34846.6,"EOG^FF_ENTRPR_VAL(ANN,0,,,,,,'')":70156.8,"HES^FF_ENTRPR_VAL(QTR,0,,,,,,'')":50109.585,"COP^FREF_MARKET_VALUE_COMPANY(NOW,,,,,0,,\"LEGACY\")":127234.7734375,"DVN^FREF_MARKET_VALUE_COMPANY(NOW,,,,,0,,\"LEGACY\")":21776.236328125,"EOG^FREF_MARKET_VALUE_COMPANY(NOW,,,,,0,,\"LEGACY\")":71149.984375,"HES^FREF_MARKET_VALUE_COMPANY(NOW,,,,,0,,\"LEGACY\")":44042.42578125,"COP^FG_PRICE(NOW)":98.36,"DVN^FG_PRICE(NOW)":33.15,"EOG^FG_PRICE(NOW)":126.5,"HES^FG_PRICE(NOW)":142.94,"EOG^FF_SALES_GR(ANN_R,NOW)":null,"DVN^FF_SALES_GR(ANN_R,NOW)":null,"COP^FE_ESTIMATE(EBITDA,MEAN,ANN_ROLL,+1,NOW,,,'')":28347.643,"COP-US^RTP_EV_EST(+1)":145091.16,"^FE_ESTIMATE(SALES,MEAN,ANN_ROLL,+2,NOW,,,'')":null,"COP-US^FE_ESTIMATE(EPS,MEAN,ANN_ROLL,+1,NOW,,,'')":8.224197,"COP-US^FE_ESTIMATE(EPS,NEST,ANN_ROLL,+1,NOW,,,'')":27,"COP-US^FE_ESTIMATE(SALES,NEST,ANN_ROLL,+1,NOW,,,'')":13,"COP-US^FE_ESTIMATE(SS_NOI,NEST,ANN_ROLL,+1,NOW,,,'')":null,"COP-US^FE_ESTIMATE(SS_NOI,NEST,ANN_ROLL,2026,NOW,,,'')":null,"COP^FE_ESTIMATE(SALES,MEAN,ANN_ROLL,+2,NOW,,,'')":66366.14,"HES^FE_ESTIMATE(SALES,MEAN,ANN_ROLL,+2,NOW,,,'')":14640.268,"EOG^FE_ESTIMATE(SALES,MEAN,ANN_ROLL,+2,NOW,,,'')":24448.834,"DVN^FE_ESTIMATE(SALES,MEAN,ANN_ROLL,+2,NOW,,,'')":16961.46,"COP^FF_EBITDA_OPER(ANN_R,0)":22428.0,"EOG^FF_EBITDA_OPER(ANN_R,0)":12385.0,"DVN^FE_ESTIMATE(EBITDA,MEAN,ANN_ROLL,+2,NOW,,,'')":8066.226,"DVN^FF_EBITDA_OPER(ANN_R,0)":7375.0,"CONOCOPHILLIPS^FF_SALES_GR(ANN_R,-1)":null,"CONOCOPHILLIPS^FF_SALES_GR(ANN_R,-1AY)":null}]]></FdsFormulaCache>
</file>

<file path=customXml/itemProps1.xml><?xml version="1.0" encoding="utf-8"?>
<ds:datastoreItem xmlns:ds="http://schemas.openxmlformats.org/officeDocument/2006/customXml" ds:itemID="{7808B008-CADB-44D6-BF82-E2BBD2346FAB}">
  <ds:schemaRefs>
    <ds:schemaRef ds:uri="urn:fdsformulacach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README</vt:lpstr>
      <vt:lpstr>Assumptions</vt:lpstr>
      <vt:lpstr>Cash Flow Assumptions</vt:lpstr>
      <vt:lpstr>NWC Calc</vt:lpstr>
      <vt:lpstr>Historicals---&gt;</vt:lpstr>
      <vt:lpstr>Historical Financials</vt:lpstr>
      <vt:lpstr>Outputs---&gt;</vt:lpstr>
      <vt:lpstr>Debt Schedule</vt:lpstr>
      <vt:lpstr>Cost of Equity</vt:lpstr>
      <vt:lpstr>Operating Model Output</vt:lpstr>
      <vt:lpstr>OUT-DCF</vt:lpstr>
      <vt:lpstr>Scratch Notes---&gt;</vt:lpstr>
      <vt:lpstr>Comps &amp; Dil. Shares</vt:lpstr>
      <vt:lpstr>Price History</vt:lpstr>
      <vt:lpstr>'Cost of Equity'!Print_Area</vt:lpstr>
      <vt:lpstr>'Debt Schedule'!Print_Area</vt:lpstr>
      <vt:lpstr>'NWC Calc'!Print_Area</vt:lpstr>
      <vt:lpstr>'Operating Model Output'!Print_Area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 Mariano</dc:creator>
  <cp:keywords/>
  <dc:description/>
  <cp:lastModifiedBy>Philip Mariano</cp:lastModifiedBy>
  <cp:revision/>
  <dcterms:created xsi:type="dcterms:W3CDTF">2016-10-13T03:34:42Z</dcterms:created>
  <dcterms:modified xsi:type="dcterms:W3CDTF">2026-09-28T22:34:27Z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Plant___Equip_Net" linkTarget="Prop__Plant___Equip_Net">
    <vt:r8>0</vt:r8>
  </property>
  <property fmtid="{D5CDD505-2E9C-101B-9397-08002B2CF9AE}" pid="3" name="=fdsSearchOrder">
    <vt:i4>0</vt:i4>
  </property>
  <property fmtid="{D5CDD505-2E9C-101B-9397-08002B2CF9AE}" pid="4" name="SSR_MIGRATION_STATUS">
    <vt:lpwstr>2</vt:lpwstr>
  </property>
</Properties>
</file>